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\INDICATORE TEMPESTIVITA' DI PAGAMENTO\I Trimestre\"/>
    </mc:Choice>
  </mc:AlternateContent>
  <xr:revisionPtr revIDLastSave="0" documentId="10_ncr:8140008_{6B9A5190-4AFC-44F6-BD44-6815FD10491E}" xr6:coauthVersionLast="32" xr6:coauthVersionMax="32" xr10:uidLastSave="{00000000-0000-0000-0000-000000000000}"/>
  <bookViews>
    <workbookView xWindow="0" yWindow="0" windowWidth="19200" windowHeight="11385"/>
  </bookViews>
  <sheets>
    <sheet name="L_RIT" sheetId="1" r:id="rId1"/>
  </sheets>
  <definedNames>
    <definedName name="_xlnm.Print_Titles" localSheetId="0">L_RIT!$1:$1</definedName>
  </definedNames>
  <calcPr calcId="0"/>
</workbook>
</file>

<file path=xl/calcChain.xml><?xml version="1.0" encoding="utf-8"?>
<calcChain xmlns="http://schemas.openxmlformats.org/spreadsheetml/2006/main">
  <c r="L187" i="1" l="1"/>
  <c r="K187" i="1"/>
  <c r="M18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2" i="1"/>
  <c r="L180" i="1"/>
  <c r="L181" i="1"/>
  <c r="L182" i="1"/>
  <c r="L183" i="1"/>
  <c r="L184" i="1"/>
  <c r="L185" i="1"/>
  <c r="L186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57" i="1"/>
  <c r="D58" i="1"/>
  <c r="D59" i="1"/>
  <c r="D63" i="1"/>
  <c r="D64" i="1"/>
  <c r="D65" i="1"/>
  <c r="D66" i="1"/>
  <c r="D68" i="1"/>
  <c r="D69" i="1"/>
  <c r="D77" i="1"/>
  <c r="D78" i="1"/>
  <c r="D80" i="1"/>
  <c r="D86" i="1"/>
  <c r="D87" i="1"/>
  <c r="D88" i="1"/>
  <c r="D101" i="1"/>
  <c r="D104" i="1"/>
  <c r="D106" i="1"/>
  <c r="D107" i="1"/>
  <c r="D108" i="1"/>
  <c r="D114" i="1"/>
  <c r="D129" i="1"/>
  <c r="D136" i="1"/>
  <c r="D137" i="1"/>
  <c r="D140" i="1"/>
  <c r="D141" i="1"/>
  <c r="D142" i="1"/>
  <c r="D144" i="1"/>
  <c r="D149" i="1"/>
  <c r="D150" i="1"/>
  <c r="D165" i="1"/>
  <c r="D167" i="1"/>
  <c r="D168" i="1"/>
  <c r="D169" i="1"/>
  <c r="D171" i="1"/>
  <c r="D179" i="1"/>
  <c r="D181" i="1"/>
  <c r="D183" i="1"/>
  <c r="D184" i="1"/>
  <c r="D186" i="1"/>
</calcChain>
</file>

<file path=xl/sharedStrings.xml><?xml version="1.0" encoding="utf-8"?>
<sst xmlns="http://schemas.openxmlformats.org/spreadsheetml/2006/main" count="680" uniqueCount="214">
  <si>
    <t>Beneficiario</t>
  </si>
  <si>
    <t>Data mandato</t>
  </si>
  <si>
    <t>Num. fattura</t>
  </si>
  <si>
    <t>Data fattura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</si>
  <si>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</si>
  <si>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</si>
  <si>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</si>
  <si>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</si>
  <si>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</si>
  <si>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</si>
  <si>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</si>
  <si>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</si>
  <si>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</si>
  <si>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ACQUE VERONESI S.C.A.R.L.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</si>
  <si>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</si>
  <si>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</si>
  <si>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NUOVA TERMOTECNICA DI TURAZZA P.I. SIMONE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</si>
  <si>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</si>
  <si>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DOLOMITI ENERGIA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</si>
  <si>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</si>
  <si>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C.A.M.V.O.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</si>
  <si>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</si>
  <si>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PAIOLA BRUNO S.A.S.</t>
  </si>
  <si>
    <t>88/E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</si>
  <si>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</si>
  <si>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HALLEY VENETO S.R.L.</t>
  </si>
  <si>
    <t>1/170870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</si>
  <si>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</si>
  <si>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GIALLO SRL</t>
  </si>
  <si>
    <t>418/11</t>
  </si>
  <si>
    <t>FONDAZIONE GIOVANNI MERITANI</t>
  </si>
  <si>
    <t>9/E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</si>
  <si>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</si>
  <si>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 PONTE SOCIETA' COOPERATIVA SOCIALE O.N.L.U.S.</t>
  </si>
  <si>
    <t>2017   249/E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</si>
  <si>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</si>
  <si>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GLOBAL POWER SPA</t>
  </si>
  <si>
    <t>V0/5284</t>
  </si>
  <si>
    <t>V0/5290</t>
  </si>
  <si>
    <t>V0/5285</t>
  </si>
  <si>
    <t>V0/5283</t>
  </si>
  <si>
    <t>V0/5280</t>
  </si>
  <si>
    <t>V0/5289</t>
  </si>
  <si>
    <t>V0/5287</t>
  </si>
  <si>
    <t>V0/5286</t>
  </si>
  <si>
    <t>V0/5282</t>
  </si>
  <si>
    <t>V0/5281</t>
  </si>
  <si>
    <t>V0/5288</t>
  </si>
  <si>
    <t>TERMOIDRAULICA ZONZINI PIETRO SRL</t>
  </si>
  <si>
    <t>FATTPA 10_17</t>
  </si>
  <si>
    <t>SOLUZIONE SRL</t>
  </si>
  <si>
    <t>552/F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</si>
  <si>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</si>
  <si>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MAGGIOLI S.P.A.</t>
  </si>
  <si>
    <t>TUV ITALIA SRL - TUV SUD GRUP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</si>
  <si>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</si>
  <si>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ANTICIMEX SRL</t>
  </si>
  <si>
    <t>2288/PA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</si>
  <si>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</si>
  <si>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ASSOCIAZIONE PRO LOCO `LE CONTRA'`</t>
  </si>
  <si>
    <t>1FE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</si>
  <si>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</si>
  <si>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</si>
  <si>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BORSELLI VITTORIO</t>
  </si>
  <si>
    <t>1PA</t>
  </si>
  <si>
    <t>BIESSE S.N.C.</t>
  </si>
  <si>
    <t>LEGGERE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</si>
  <si>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</si>
  <si>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IMQ SPA</t>
  </si>
  <si>
    <t>GLOBAL POWER SERVICE SPA</t>
  </si>
  <si>
    <t>2018-V5-13</t>
  </si>
  <si>
    <t>ASSOCIAZIONE CULTURALE NICCOLO' MACHIAVELLI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</si>
  <si>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</si>
  <si>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LADE s.r.l.</t>
  </si>
  <si>
    <t>0000062/PA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</si>
  <si>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</si>
  <si>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SEZIONE TIRO A SEGNO NAZIONALE CEREA ASSOC.SPORT.DILET.</t>
  </si>
  <si>
    <t>10/A/17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</si>
  <si>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</si>
  <si>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ENERGIA VENETO</t>
  </si>
  <si>
    <t>V1-179-2018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</si>
  <si>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</si>
  <si>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V1-178-2018</t>
  </si>
  <si>
    <t>V1-177-2018</t>
  </si>
  <si>
    <t>BERARDO F.LLI S.R.L.</t>
  </si>
  <si>
    <t>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</si>
  <si>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</si>
  <si>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114/E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</si>
  <si>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</si>
  <si>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E.GASPARI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</si>
  <si>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</si>
  <si>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AVOGARO ARIANNO</t>
  </si>
  <si>
    <t>FATTPA 1_18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</si>
  <si>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</si>
  <si>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AZIENDA AGRICOLA FALSIROLI ANDREA</t>
  </si>
  <si>
    <t>FALCO INSTALLAZIONI SRL</t>
  </si>
  <si>
    <t>1/PA/2017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</si>
  <si>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</si>
  <si>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NEOPOST RENTAL ITALIA SRL</t>
  </si>
  <si>
    <t>VIVAI PIANTE CAMPAGNOLO CHRISTIAN</t>
  </si>
  <si>
    <t>01/PA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</si>
  <si>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</si>
  <si>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ARENA ASCENSORI S.R.L.</t>
  </si>
  <si>
    <t>000024/18/PA</t>
  </si>
  <si>
    <t>CONSORZIO EUROBUS VERONA SOC. COOP.</t>
  </si>
  <si>
    <t>621/FE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</si>
  <si>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</si>
  <si>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MUNICIPIA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</si>
  <si>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</si>
  <si>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MIRA PA SRLS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</si>
  <si>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</si>
  <si>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V0/17887</t>
  </si>
  <si>
    <t>V0/17885</t>
  </si>
  <si>
    <t>V0/17880</t>
  </si>
  <si>
    <t>V0/17883</t>
  </si>
  <si>
    <t>V0/17881</t>
  </si>
  <si>
    <t>V0/17884</t>
  </si>
  <si>
    <t>V0/17888</t>
  </si>
  <si>
    <t>V0/17886</t>
  </si>
  <si>
    <t>V0/17882</t>
  </si>
  <si>
    <t>ELTRAFF SRL</t>
  </si>
  <si>
    <t>0045/18/PA</t>
  </si>
  <si>
    <t>BONENTE ANDREA</t>
  </si>
  <si>
    <t>2/PA</t>
  </si>
  <si>
    <t>0000001/PA</t>
  </si>
  <si>
    <t>101/E</t>
  </si>
  <si>
    <t>000023/18/PA</t>
  </si>
  <si>
    <t>ACCATRE S.R.L.</t>
  </si>
  <si>
    <t>1/180013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</si>
  <si>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</si>
  <si>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587/FE</t>
  </si>
  <si>
    <t>SCAVI MARTINELLI. S.N.C</t>
  </si>
  <si>
    <t>03/PA</t>
  </si>
  <si>
    <t>2018-V5-33</t>
  </si>
  <si>
    <t>SPERANZA SOC. COOP. SOC. ONLUS</t>
  </si>
  <si>
    <t>842/19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</si>
  <si>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</si>
  <si>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TELECOM ITALIA S.P.A.</t>
  </si>
  <si>
    <t>8E01218518</t>
  </si>
  <si>
    <t>8E01213485</t>
  </si>
  <si>
    <t>8E01219545</t>
  </si>
  <si>
    <t>8E01215329</t>
  </si>
  <si>
    <t>8E01220967</t>
  </si>
  <si>
    <t>8E01213992</t>
  </si>
  <si>
    <t>8E01216173</t>
  </si>
  <si>
    <t>8E01219620</t>
  </si>
  <si>
    <t>8E01213330</t>
  </si>
  <si>
    <t>8E01221052</t>
  </si>
  <si>
    <t>8E01214497</t>
  </si>
  <si>
    <t>8E01213610</t>
  </si>
  <si>
    <t>8E01220047</t>
  </si>
  <si>
    <t>ADDICALCO SOC.R.L.</t>
  </si>
  <si>
    <t>965/00002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</si>
  <si>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</si>
  <si>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1/180170</t>
  </si>
  <si>
    <t>PUBLIMULTIMEDIA SNC DI VOI FEDERICO &amp; C.</t>
  </si>
  <si>
    <t>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</si>
  <si>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</si>
  <si>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6/PA</t>
  </si>
  <si>
    <t>7/PA</t>
  </si>
  <si>
    <t>BOXXAPPS SRL</t>
  </si>
  <si>
    <t>1/180001</t>
  </si>
  <si>
    <t>843/19</t>
  </si>
  <si>
    <t>FERRI BATTUTI ARTISTICI</t>
  </si>
  <si>
    <t>AGRIVERDE</t>
  </si>
  <si>
    <t>ACLI SERVICE VERONA S.R.L.</t>
  </si>
  <si>
    <t>8 PA</t>
  </si>
  <si>
    <t>STIL MARMO DI DAL MASO LUCA</t>
  </si>
  <si>
    <t>ROCCHI COPERTURE SRL</t>
  </si>
  <si>
    <t>VERDEARANCIO SOCIETA'COOPERATIVA SOCIALE -ONLUS</t>
  </si>
  <si>
    <t>02/18/PA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</si>
  <si>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</si>
  <si>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2_18</t>
  </si>
  <si>
    <t>FATTPA 4_18</t>
  </si>
  <si>
    <t>FATTPA 3_18</t>
  </si>
  <si>
    <t>OLIVETTI S.P.A.</t>
  </si>
  <si>
    <t>0000006/PA</t>
  </si>
  <si>
    <t>V0/30386</t>
  </si>
  <si>
    <t>V0/30387</t>
  </si>
  <si>
    <t>V0/30394</t>
  </si>
  <si>
    <t>V0/30393</t>
  </si>
  <si>
    <t>V0/30388</t>
  </si>
  <si>
    <t>V0/30384</t>
  </si>
  <si>
    <t>V0/30389</t>
  </si>
  <si>
    <t>V0/30391</t>
  </si>
  <si>
    <t>V0/30390</t>
  </si>
  <si>
    <t>V0/30385</t>
  </si>
  <si>
    <t>V0/30392</t>
  </si>
  <si>
    <t>32/FE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</si>
  <si>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</si>
  <si>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2018-V5-51</t>
  </si>
  <si>
    <t>15/E</t>
  </si>
  <si>
    <t>SARBA S.P.A.</t>
  </si>
  <si>
    <t>10/PF</t>
  </si>
  <si>
    <t>MOBILFERRO ARREDAMENTI S.R.L.</t>
  </si>
  <si>
    <t xml:space="preserve"> SICONTRAF S.R.L.</t>
  </si>
  <si>
    <t>25/PA</t>
  </si>
  <si>
    <t>1/180269</t>
  </si>
  <si>
    <t>LIVE SRL</t>
  </si>
  <si>
    <t>40/2018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</si>
  <si>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</si>
  <si>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2/E</t>
  </si>
  <si>
    <t>11/PF</t>
  </si>
  <si>
    <t>44/19</t>
  </si>
  <si>
    <t>04/18/PA</t>
  </si>
  <si>
    <t>KYOCERA DOCUMENT SOLUTIONS ITALIA S.P.A.</t>
  </si>
  <si>
    <t>LIBRERIA CORTINA EDITRICE S.R.L.</t>
  </si>
  <si>
    <t>0000060/PA</t>
  </si>
  <si>
    <t>100/FE</t>
  </si>
  <si>
    <t>06/18/PA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</si>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</sst>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11" fontId="0" fillId="0" borderId="10" xfId="0" applyNumberForma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2" fontId="18" fillId="0" borderId="17" xfId="0" applyNumberFormat="1" applyFont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workbookViewId="0">
      <pane ySplit="1" topLeftCell="A182" activePane="bottomLeft" state="frozen"/>
      <selection pane="bottomLeft" activeCell="D201" sqref="D201"/>
    </sheetView>
  </sheetViews>
  <sheetFormatPr defaultRowHeight="15" x14ac:dyDescent="0.25"/>
  <cols>
    <col min="1" max="1" width="40.28515625" customWidth="1"/>
    <col min="2" max="2" width="6.5703125" hidden="1" customWidth="1"/>
    <col min="3" max="3" width="12.140625" hidden="1" customWidth="1"/>
    <col min="4" max="4" width="20.28515625" customWidth="1"/>
    <col min="5" max="5" width="11.42578125" bestFit="1" customWidth="1"/>
    <col min="6" max="6" width="11" bestFit="1" customWidth="1"/>
    <col min="7" max="7" width="10.7109375" bestFit="1" customWidth="1"/>
    <col min="8" max="8" width="6" bestFit="1" customWidth="1"/>
    <col min="9" max="10" width="0" hidden="1" customWidth="1"/>
    <col min="11" max="11" width="10.140625" bestFit="1" customWidth="1"/>
    <col min="12" max="12" width="7.7109375" bestFit="1" customWidth="1"/>
    <col min="13" max="13" width="10.85546875" bestFit="1" customWidth="1"/>
  </cols>
  <sheetData>
    <row r="1" spans="1:14" s="2" customFormat="1" ht="30" x14ac:dyDescent="0.25">
      <c r="A1" s="8" t="s">
        <v>0</v>
      </c>
      <c r="B1" s="9" t="s">
        <v>213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2" t="s">
        <v>12</v>
      </c>
    </row>
    <row r="2" spans="1:14" s="1" customFormat="1" x14ac:dyDescent="0.25">
      <c r="A2" s="11" t="s">
        <v>13</v>
      </c>
      <c r="B2" s="3">
        <v>126</v>
      </c>
      <c r="C2" s="4">
        <v>43154</v>
      </c>
      <c r="D2" s="3" t="str">
        <f>"0350120170800582100"</f>
        <v>0350120170800582100</v>
      </c>
      <c r="E2" s="4">
        <v>43059</v>
      </c>
      <c r="F2" s="4">
        <v>43155</v>
      </c>
      <c r="G2" s="4">
        <v>43096</v>
      </c>
      <c r="H2" s="3" t="s">
        <v>14</v>
      </c>
      <c r="I2" s="3">
        <v>53.58</v>
      </c>
      <c r="J2" s="3">
        <v>4.87</v>
      </c>
      <c r="K2" s="3">
        <v>48.71</v>
      </c>
      <c r="L2" s="3">
        <f>+F2-G2</f>
        <v>59</v>
      </c>
      <c r="M2" s="12">
        <f>+K2*L2</f>
        <v>2873.89</v>
      </c>
      <c r="N2" s="1" t="s">
        <v>15</v>
      </c>
    </row>
    <row r="3" spans="1:14" s="1" customFormat="1" x14ac:dyDescent="0.25">
      <c r="A3" s="11" t="s">
        <v>13</v>
      </c>
      <c r="B3" s="3">
        <v>126</v>
      </c>
      <c r="C3" s="4">
        <v>43154</v>
      </c>
      <c r="D3" s="3" t="str">
        <f>"0350120170800582500"</f>
        <v>0350120170800582500</v>
      </c>
      <c r="E3" s="4">
        <v>43059</v>
      </c>
      <c r="F3" s="4">
        <v>43155</v>
      </c>
      <c r="G3" s="4">
        <v>43096</v>
      </c>
      <c r="H3" s="3" t="s">
        <v>14</v>
      </c>
      <c r="I3" s="3">
        <v>31.52</v>
      </c>
      <c r="J3" s="3">
        <v>2.87</v>
      </c>
      <c r="K3" s="3">
        <v>28.65</v>
      </c>
      <c r="L3" s="3">
        <f t="shared" ref="L3:L66" si="0">+F3-G3</f>
        <v>59</v>
      </c>
      <c r="M3" s="12">
        <f t="shared" ref="M3:M66" si="1">+K3*L3</f>
        <v>1690.35</v>
      </c>
      <c r="N3" s="1" t="s">
        <v>15</v>
      </c>
    </row>
    <row r="4" spans="1:14" s="1" customFormat="1" ht="30" x14ac:dyDescent="0.25">
      <c r="A4" s="11" t="s">
        <v>16</v>
      </c>
      <c r="B4" s="3">
        <v>148</v>
      </c>
      <c r="C4" s="4">
        <v>43155</v>
      </c>
      <c r="D4" s="3" t="str">
        <f>"8"</f>
        <v>8</v>
      </c>
      <c r="E4" s="4">
        <v>43076</v>
      </c>
      <c r="F4" s="4">
        <v>43155</v>
      </c>
      <c r="G4" s="4">
        <v>43106</v>
      </c>
      <c r="H4" s="3" t="s">
        <v>14</v>
      </c>
      <c r="I4" s="3">
        <v>685.54</v>
      </c>
      <c r="J4" s="3">
        <v>78.540000000000006</v>
      </c>
      <c r="K4" s="3">
        <v>607</v>
      </c>
      <c r="L4" s="3">
        <f t="shared" si="0"/>
        <v>49</v>
      </c>
      <c r="M4" s="12">
        <f t="shared" si="1"/>
        <v>29743</v>
      </c>
      <c r="N4" s="1" t="s">
        <v>17</v>
      </c>
    </row>
    <row r="5" spans="1:14" s="1" customFormat="1" x14ac:dyDescent="0.25">
      <c r="A5" s="11" t="s">
        <v>18</v>
      </c>
      <c r="B5" s="3">
        <v>297</v>
      </c>
      <c r="C5" s="4">
        <v>43169</v>
      </c>
      <c r="D5" s="3" t="str">
        <f>"41704486664"</f>
        <v>41704486664</v>
      </c>
      <c r="E5" s="4">
        <v>43089</v>
      </c>
      <c r="F5" s="4">
        <v>43169</v>
      </c>
      <c r="G5" s="4">
        <v>43120</v>
      </c>
      <c r="H5" s="3" t="s">
        <v>14</v>
      </c>
      <c r="I5" s="3">
        <v>182.94</v>
      </c>
      <c r="J5" s="3">
        <v>32.99</v>
      </c>
      <c r="K5" s="3">
        <v>149.94999999999999</v>
      </c>
      <c r="L5" s="3">
        <f t="shared" si="0"/>
        <v>49</v>
      </c>
      <c r="M5" s="12">
        <f t="shared" si="1"/>
        <v>7347.5499999999993</v>
      </c>
      <c r="N5" s="1" t="s">
        <v>19</v>
      </c>
    </row>
    <row r="6" spans="1:14" s="1" customFormat="1" x14ac:dyDescent="0.25">
      <c r="A6" s="11" t="s">
        <v>20</v>
      </c>
      <c r="B6" s="3">
        <v>146</v>
      </c>
      <c r="C6" s="4">
        <v>43155</v>
      </c>
      <c r="D6" s="3" t="str">
        <f>"17139"</f>
        <v>17139</v>
      </c>
      <c r="E6" s="4">
        <v>43069</v>
      </c>
      <c r="F6" s="4">
        <v>43155</v>
      </c>
      <c r="G6" s="4">
        <v>43110</v>
      </c>
      <c r="H6" s="3" t="s">
        <v>14</v>
      </c>
      <c r="I6" s="5">
        <v>2605.75</v>
      </c>
      <c r="J6" s="3">
        <v>469.89</v>
      </c>
      <c r="K6" s="5">
        <v>2135.86</v>
      </c>
      <c r="L6" s="3">
        <f t="shared" si="0"/>
        <v>45</v>
      </c>
      <c r="M6" s="12">
        <f t="shared" si="1"/>
        <v>96113.700000000012</v>
      </c>
      <c r="N6" s="1" t="s">
        <v>21</v>
      </c>
    </row>
    <row r="7" spans="1:14" s="1" customFormat="1" x14ac:dyDescent="0.25">
      <c r="A7" s="11" t="s">
        <v>13</v>
      </c>
      <c r="B7" s="3">
        <v>125</v>
      </c>
      <c r="C7" s="4">
        <v>43154</v>
      </c>
      <c r="D7" s="3" t="str">
        <f>"0350120160800144000"</f>
        <v>0350120160800144000</v>
      </c>
      <c r="E7" s="4">
        <v>42418</v>
      </c>
      <c r="F7" s="4">
        <v>43155</v>
      </c>
      <c r="G7" s="4">
        <v>43111</v>
      </c>
      <c r="H7" s="3" t="s">
        <v>14</v>
      </c>
      <c r="I7" s="3">
        <v>14.18</v>
      </c>
      <c r="J7" s="3">
        <v>1.29</v>
      </c>
      <c r="K7" s="3">
        <v>12.89</v>
      </c>
      <c r="L7" s="3">
        <f t="shared" si="0"/>
        <v>44</v>
      </c>
      <c r="M7" s="12">
        <f t="shared" si="1"/>
        <v>567.16000000000008</v>
      </c>
      <c r="N7" s="1" t="s">
        <v>15</v>
      </c>
    </row>
    <row r="8" spans="1:14" s="1" customFormat="1" x14ac:dyDescent="0.25">
      <c r="A8" s="11" t="s">
        <v>13</v>
      </c>
      <c r="B8" s="3">
        <v>123</v>
      </c>
      <c r="C8" s="4">
        <v>43154</v>
      </c>
      <c r="D8" s="3" t="str">
        <f>"0350120160800144400"</f>
        <v>0350120160800144400</v>
      </c>
      <c r="E8" s="4">
        <v>42418</v>
      </c>
      <c r="F8" s="4">
        <v>43155</v>
      </c>
      <c r="G8" s="4">
        <v>43111</v>
      </c>
      <c r="H8" s="3" t="s">
        <v>14</v>
      </c>
      <c r="I8" s="3">
        <v>62.65</v>
      </c>
      <c r="J8" s="3">
        <v>5.7</v>
      </c>
      <c r="K8" s="3">
        <v>56.95</v>
      </c>
      <c r="L8" s="3">
        <f t="shared" si="0"/>
        <v>44</v>
      </c>
      <c r="M8" s="12">
        <f t="shared" si="1"/>
        <v>2505.8000000000002</v>
      </c>
      <c r="N8" s="1" t="s">
        <v>15</v>
      </c>
    </row>
    <row r="9" spans="1:14" s="1" customFormat="1" x14ac:dyDescent="0.25">
      <c r="A9" s="11" t="s">
        <v>13</v>
      </c>
      <c r="B9" s="3">
        <v>123</v>
      </c>
      <c r="C9" s="4">
        <v>43154</v>
      </c>
      <c r="D9" s="3" t="str">
        <f>"0350120160800144100"</f>
        <v>0350120160800144100</v>
      </c>
      <c r="E9" s="4">
        <v>42418</v>
      </c>
      <c r="F9" s="4">
        <v>43155</v>
      </c>
      <c r="G9" s="4">
        <v>43111</v>
      </c>
      <c r="H9" s="3" t="s">
        <v>14</v>
      </c>
      <c r="I9" s="3">
        <v>2.37</v>
      </c>
      <c r="J9" s="3">
        <v>0.22</v>
      </c>
      <c r="K9" s="3">
        <v>2.15</v>
      </c>
      <c r="L9" s="3">
        <f t="shared" si="0"/>
        <v>44</v>
      </c>
      <c r="M9" s="12">
        <f t="shared" si="1"/>
        <v>94.6</v>
      </c>
      <c r="N9" s="1" t="s">
        <v>15</v>
      </c>
    </row>
    <row r="10" spans="1:14" s="1" customFormat="1" x14ac:dyDescent="0.25">
      <c r="A10" s="11" t="s">
        <v>13</v>
      </c>
      <c r="B10" s="3">
        <v>125</v>
      </c>
      <c r="C10" s="4">
        <v>43154</v>
      </c>
      <c r="D10" s="3" t="str">
        <f>"0350120160800145600"</f>
        <v>0350120160800145600</v>
      </c>
      <c r="E10" s="4">
        <v>42418</v>
      </c>
      <c r="F10" s="4">
        <v>43155</v>
      </c>
      <c r="G10" s="4">
        <v>43111</v>
      </c>
      <c r="H10" s="3" t="s">
        <v>14</v>
      </c>
      <c r="I10" s="3">
        <v>6.25</v>
      </c>
      <c r="J10" s="3">
        <v>0</v>
      </c>
      <c r="K10" s="3">
        <v>6.25</v>
      </c>
      <c r="L10" s="3">
        <f t="shared" si="0"/>
        <v>44</v>
      </c>
      <c r="M10" s="12">
        <f t="shared" si="1"/>
        <v>275</v>
      </c>
      <c r="N10" s="1" t="s">
        <v>15</v>
      </c>
    </row>
    <row r="11" spans="1:14" s="1" customFormat="1" x14ac:dyDescent="0.25">
      <c r="A11" s="11" t="s">
        <v>13</v>
      </c>
      <c r="B11" s="3">
        <v>123</v>
      </c>
      <c r="C11" s="4">
        <v>43154</v>
      </c>
      <c r="D11" s="3" t="str">
        <f>"0350120160800145300"</f>
        <v>0350120160800145300</v>
      </c>
      <c r="E11" s="4">
        <v>42418</v>
      </c>
      <c r="F11" s="4">
        <v>43155</v>
      </c>
      <c r="G11" s="4">
        <v>43111</v>
      </c>
      <c r="H11" s="3" t="s">
        <v>14</v>
      </c>
      <c r="I11" s="3">
        <v>49.25</v>
      </c>
      <c r="J11" s="3">
        <v>4.4800000000000004</v>
      </c>
      <c r="K11" s="3">
        <v>44.77</v>
      </c>
      <c r="L11" s="3">
        <f t="shared" si="0"/>
        <v>44</v>
      </c>
      <c r="M11" s="12">
        <f t="shared" si="1"/>
        <v>1969.88</v>
      </c>
      <c r="N11" s="1" t="s">
        <v>15</v>
      </c>
    </row>
    <row r="12" spans="1:14" s="1" customFormat="1" x14ac:dyDescent="0.25">
      <c r="A12" s="11" t="s">
        <v>13</v>
      </c>
      <c r="B12" s="3">
        <v>125</v>
      </c>
      <c r="C12" s="4">
        <v>43154</v>
      </c>
      <c r="D12" s="3" t="str">
        <f>"0350120160800144800"</f>
        <v>0350120160800144800</v>
      </c>
      <c r="E12" s="4">
        <v>42418</v>
      </c>
      <c r="F12" s="4">
        <v>43155</v>
      </c>
      <c r="G12" s="4">
        <v>43111</v>
      </c>
      <c r="H12" s="3" t="s">
        <v>14</v>
      </c>
      <c r="I12" s="3">
        <v>92.73</v>
      </c>
      <c r="J12" s="3">
        <v>8.43</v>
      </c>
      <c r="K12" s="3">
        <v>84.3</v>
      </c>
      <c r="L12" s="3">
        <f t="shared" si="0"/>
        <v>44</v>
      </c>
      <c r="M12" s="12">
        <f t="shared" si="1"/>
        <v>3709.2</v>
      </c>
      <c r="N12" s="1" t="s">
        <v>15</v>
      </c>
    </row>
    <row r="13" spans="1:14" s="1" customFormat="1" x14ac:dyDescent="0.25">
      <c r="A13" s="11" t="s">
        <v>13</v>
      </c>
      <c r="B13" s="3">
        <v>123</v>
      </c>
      <c r="C13" s="4">
        <v>43154</v>
      </c>
      <c r="D13" s="3" t="str">
        <f>"0350120160800145000"</f>
        <v>0350120160800145000</v>
      </c>
      <c r="E13" s="4">
        <v>42418</v>
      </c>
      <c r="F13" s="4">
        <v>43155</v>
      </c>
      <c r="G13" s="4">
        <v>43111</v>
      </c>
      <c r="H13" s="3" t="s">
        <v>14</v>
      </c>
      <c r="I13" s="3">
        <v>13.06</v>
      </c>
      <c r="J13" s="3">
        <v>1.19</v>
      </c>
      <c r="K13" s="3">
        <v>11.87</v>
      </c>
      <c r="L13" s="3">
        <f t="shared" si="0"/>
        <v>44</v>
      </c>
      <c r="M13" s="12">
        <f t="shared" si="1"/>
        <v>522.28</v>
      </c>
      <c r="N13" s="1" t="s">
        <v>15</v>
      </c>
    </row>
    <row r="14" spans="1:14" s="1" customFormat="1" x14ac:dyDescent="0.25">
      <c r="A14" s="11" t="s">
        <v>13</v>
      </c>
      <c r="B14" s="3">
        <v>123</v>
      </c>
      <c r="C14" s="4">
        <v>43154</v>
      </c>
      <c r="D14" s="3" t="str">
        <f>"0350120160800153900"</f>
        <v>0350120160800153900</v>
      </c>
      <c r="E14" s="4">
        <v>42418</v>
      </c>
      <c r="F14" s="4">
        <v>43155</v>
      </c>
      <c r="G14" s="4">
        <v>43111</v>
      </c>
      <c r="H14" s="3" t="s">
        <v>14</v>
      </c>
      <c r="I14" s="3">
        <v>16.149999999999999</v>
      </c>
      <c r="J14" s="3">
        <v>1.47</v>
      </c>
      <c r="K14" s="3">
        <v>14.68</v>
      </c>
      <c r="L14" s="3">
        <f t="shared" si="0"/>
        <v>44</v>
      </c>
      <c r="M14" s="12">
        <f t="shared" si="1"/>
        <v>645.91999999999996</v>
      </c>
      <c r="N14" s="1" t="s">
        <v>15</v>
      </c>
    </row>
    <row r="15" spans="1:14" s="1" customFormat="1" x14ac:dyDescent="0.25">
      <c r="A15" s="11" t="s">
        <v>13</v>
      </c>
      <c r="B15" s="3">
        <v>125</v>
      </c>
      <c r="C15" s="4">
        <v>43154</v>
      </c>
      <c r="D15" s="3" t="str">
        <f>"0350120160800145200"</f>
        <v>0350120160800145200</v>
      </c>
      <c r="E15" s="4">
        <v>42418</v>
      </c>
      <c r="F15" s="4">
        <v>43155</v>
      </c>
      <c r="G15" s="4">
        <v>43111</v>
      </c>
      <c r="H15" s="3" t="s">
        <v>14</v>
      </c>
      <c r="I15" s="3">
        <v>0.4</v>
      </c>
      <c r="J15" s="3">
        <v>0.04</v>
      </c>
      <c r="K15" s="3">
        <v>0.36</v>
      </c>
      <c r="L15" s="3">
        <f t="shared" si="0"/>
        <v>44</v>
      </c>
      <c r="M15" s="12">
        <f t="shared" si="1"/>
        <v>15.84</v>
      </c>
      <c r="N15" s="1" t="s">
        <v>15</v>
      </c>
    </row>
    <row r="16" spans="1:14" s="1" customFormat="1" x14ac:dyDescent="0.25">
      <c r="A16" s="11" t="s">
        <v>13</v>
      </c>
      <c r="B16" s="3">
        <v>123</v>
      </c>
      <c r="C16" s="4">
        <v>43154</v>
      </c>
      <c r="D16" s="3" t="str">
        <f>"0350120160800144900"</f>
        <v>0350120160800144900</v>
      </c>
      <c r="E16" s="4">
        <v>42418</v>
      </c>
      <c r="F16" s="4">
        <v>43155</v>
      </c>
      <c r="G16" s="4">
        <v>43111</v>
      </c>
      <c r="H16" s="3" t="s">
        <v>14</v>
      </c>
      <c r="I16" s="3">
        <v>0.4</v>
      </c>
      <c r="J16" s="3">
        <v>0.04</v>
      </c>
      <c r="K16" s="3">
        <v>0.36</v>
      </c>
      <c r="L16" s="3">
        <f t="shared" si="0"/>
        <v>44</v>
      </c>
      <c r="M16" s="12">
        <f t="shared" si="1"/>
        <v>15.84</v>
      </c>
      <c r="N16" s="1" t="s">
        <v>15</v>
      </c>
    </row>
    <row r="17" spans="1:14" s="1" customFormat="1" x14ac:dyDescent="0.25">
      <c r="A17" s="11" t="s">
        <v>13</v>
      </c>
      <c r="B17" s="3">
        <v>123</v>
      </c>
      <c r="C17" s="4">
        <v>43154</v>
      </c>
      <c r="D17" s="3" t="str">
        <f>"0350120160800145500"</f>
        <v>0350120160800145500</v>
      </c>
      <c r="E17" s="4">
        <v>42418</v>
      </c>
      <c r="F17" s="4">
        <v>43155</v>
      </c>
      <c r="G17" s="4">
        <v>43111</v>
      </c>
      <c r="H17" s="3" t="s">
        <v>14</v>
      </c>
      <c r="I17" s="3">
        <v>2.62</v>
      </c>
      <c r="J17" s="3">
        <v>0.24</v>
      </c>
      <c r="K17" s="3">
        <v>2.38</v>
      </c>
      <c r="L17" s="3">
        <f t="shared" si="0"/>
        <v>44</v>
      </c>
      <c r="M17" s="12">
        <f t="shared" si="1"/>
        <v>104.72</v>
      </c>
      <c r="N17" s="1" t="s">
        <v>15</v>
      </c>
    </row>
    <row r="18" spans="1:14" s="1" customFormat="1" x14ac:dyDescent="0.25">
      <c r="A18" s="11" t="s">
        <v>13</v>
      </c>
      <c r="B18" s="3">
        <v>123</v>
      </c>
      <c r="C18" s="4">
        <v>43154</v>
      </c>
      <c r="D18" s="3" t="str">
        <f>"0350120160800145800"</f>
        <v>0350120160800145800</v>
      </c>
      <c r="E18" s="4">
        <v>42418</v>
      </c>
      <c r="F18" s="4">
        <v>43155</v>
      </c>
      <c r="G18" s="4">
        <v>43111</v>
      </c>
      <c r="H18" s="3" t="s">
        <v>14</v>
      </c>
      <c r="I18" s="3">
        <v>64.22</v>
      </c>
      <c r="J18" s="3">
        <v>5.84</v>
      </c>
      <c r="K18" s="3">
        <v>58.38</v>
      </c>
      <c r="L18" s="3">
        <f t="shared" si="0"/>
        <v>44</v>
      </c>
      <c r="M18" s="12">
        <f t="shared" si="1"/>
        <v>2568.7200000000003</v>
      </c>
      <c r="N18" s="1" t="s">
        <v>15</v>
      </c>
    </row>
    <row r="19" spans="1:14" s="1" customFormat="1" x14ac:dyDescent="0.25">
      <c r="A19" s="11" t="s">
        <v>13</v>
      </c>
      <c r="B19" s="3">
        <v>123</v>
      </c>
      <c r="C19" s="4">
        <v>43154</v>
      </c>
      <c r="D19" s="3" t="str">
        <f>"0350120160800145700"</f>
        <v>0350120160800145700</v>
      </c>
      <c r="E19" s="4">
        <v>42418</v>
      </c>
      <c r="F19" s="4">
        <v>43155</v>
      </c>
      <c r="G19" s="4">
        <v>43111</v>
      </c>
      <c r="H19" s="3" t="s">
        <v>14</v>
      </c>
      <c r="I19" s="3">
        <v>561.54999999999995</v>
      </c>
      <c r="J19" s="3">
        <v>51.05</v>
      </c>
      <c r="K19" s="3">
        <v>510.5</v>
      </c>
      <c r="L19" s="3">
        <f t="shared" si="0"/>
        <v>44</v>
      </c>
      <c r="M19" s="12">
        <f t="shared" si="1"/>
        <v>22462</v>
      </c>
      <c r="N19" s="1" t="s">
        <v>15</v>
      </c>
    </row>
    <row r="20" spans="1:14" s="1" customFormat="1" x14ac:dyDescent="0.25">
      <c r="A20" s="11" t="s">
        <v>13</v>
      </c>
      <c r="B20" s="3">
        <v>125</v>
      </c>
      <c r="C20" s="4">
        <v>43154</v>
      </c>
      <c r="D20" s="3" t="str">
        <f>"0350120160800144600"</f>
        <v>0350120160800144600</v>
      </c>
      <c r="E20" s="4">
        <v>42418</v>
      </c>
      <c r="F20" s="4">
        <v>43155</v>
      </c>
      <c r="G20" s="4">
        <v>43111</v>
      </c>
      <c r="H20" s="3" t="s">
        <v>14</v>
      </c>
      <c r="I20" s="3">
        <v>34.67</v>
      </c>
      <c r="J20" s="3">
        <v>3.15</v>
      </c>
      <c r="K20" s="3">
        <v>31.52</v>
      </c>
      <c r="L20" s="3">
        <f t="shared" si="0"/>
        <v>44</v>
      </c>
      <c r="M20" s="12">
        <f t="shared" si="1"/>
        <v>1386.8799999999999</v>
      </c>
      <c r="N20" s="1" t="s">
        <v>15</v>
      </c>
    </row>
    <row r="21" spans="1:14" s="1" customFormat="1" x14ac:dyDescent="0.25">
      <c r="A21" s="11" t="s">
        <v>13</v>
      </c>
      <c r="B21" s="3">
        <v>125</v>
      </c>
      <c r="C21" s="4">
        <v>43154</v>
      </c>
      <c r="D21" s="3" t="str">
        <f>"0350120160800144700"</f>
        <v>0350120160800144700</v>
      </c>
      <c r="E21" s="4">
        <v>42418</v>
      </c>
      <c r="F21" s="4">
        <v>43155</v>
      </c>
      <c r="G21" s="4">
        <v>43111</v>
      </c>
      <c r="H21" s="3" t="s">
        <v>14</v>
      </c>
      <c r="I21" s="3">
        <v>7.49</v>
      </c>
      <c r="J21" s="3">
        <v>0.68</v>
      </c>
      <c r="K21" s="3">
        <v>6.81</v>
      </c>
      <c r="L21" s="3">
        <f t="shared" si="0"/>
        <v>44</v>
      </c>
      <c r="M21" s="12">
        <f t="shared" si="1"/>
        <v>299.64</v>
      </c>
      <c r="N21" s="1" t="s">
        <v>15</v>
      </c>
    </row>
    <row r="22" spans="1:14" s="1" customFormat="1" x14ac:dyDescent="0.25">
      <c r="A22" s="11" t="s">
        <v>13</v>
      </c>
      <c r="B22" s="3">
        <v>125</v>
      </c>
      <c r="C22" s="4">
        <v>43154</v>
      </c>
      <c r="D22" s="3" t="str">
        <f>"0350120160800145100"</f>
        <v>0350120160800145100</v>
      </c>
      <c r="E22" s="4">
        <v>42418</v>
      </c>
      <c r="F22" s="4">
        <v>43155</v>
      </c>
      <c r="G22" s="4">
        <v>43111</v>
      </c>
      <c r="H22" s="3" t="s">
        <v>14</v>
      </c>
      <c r="I22" s="3">
        <v>18.13</v>
      </c>
      <c r="J22" s="3">
        <v>1.65</v>
      </c>
      <c r="K22" s="3">
        <v>16.48</v>
      </c>
      <c r="L22" s="3">
        <f t="shared" si="0"/>
        <v>44</v>
      </c>
      <c r="M22" s="12">
        <f t="shared" si="1"/>
        <v>725.12</v>
      </c>
      <c r="N22" s="1" t="s">
        <v>15</v>
      </c>
    </row>
    <row r="23" spans="1:14" s="1" customFormat="1" x14ac:dyDescent="0.25">
      <c r="A23" s="11" t="s">
        <v>13</v>
      </c>
      <c r="B23" s="3">
        <v>123</v>
      </c>
      <c r="C23" s="4">
        <v>43154</v>
      </c>
      <c r="D23" s="3" t="str">
        <f>"0350120160800144200"</f>
        <v>0350120160800144200</v>
      </c>
      <c r="E23" s="4">
        <v>42418</v>
      </c>
      <c r="F23" s="4">
        <v>43155</v>
      </c>
      <c r="G23" s="4">
        <v>43111</v>
      </c>
      <c r="H23" s="3" t="s">
        <v>14</v>
      </c>
      <c r="I23" s="3">
        <v>18.91</v>
      </c>
      <c r="J23" s="3">
        <v>1.72</v>
      </c>
      <c r="K23" s="3">
        <v>17.190000000000001</v>
      </c>
      <c r="L23" s="3">
        <f t="shared" si="0"/>
        <v>44</v>
      </c>
      <c r="M23" s="12">
        <f t="shared" si="1"/>
        <v>756.36</v>
      </c>
      <c r="N23" s="1" t="s">
        <v>15</v>
      </c>
    </row>
    <row r="24" spans="1:14" s="1" customFormat="1" x14ac:dyDescent="0.25">
      <c r="A24" s="11" t="s">
        <v>13</v>
      </c>
      <c r="B24" s="3">
        <v>129</v>
      </c>
      <c r="C24" s="4">
        <v>43155</v>
      </c>
      <c r="D24" s="3" t="str">
        <f>"0350120150800323800"</f>
        <v>0350120150800323800</v>
      </c>
      <c r="E24" s="4">
        <v>42327</v>
      </c>
      <c r="F24" s="4">
        <v>43155</v>
      </c>
      <c r="G24" s="4">
        <v>43112</v>
      </c>
      <c r="H24" s="3" t="s">
        <v>14</v>
      </c>
      <c r="I24" s="3">
        <v>455.15</v>
      </c>
      <c r="J24" s="3">
        <v>41.38</v>
      </c>
      <c r="K24" s="3">
        <v>413.77</v>
      </c>
      <c r="L24" s="3">
        <f t="shared" si="0"/>
        <v>43</v>
      </c>
      <c r="M24" s="12">
        <f t="shared" si="1"/>
        <v>17792.11</v>
      </c>
      <c r="N24" s="1" t="s">
        <v>15</v>
      </c>
    </row>
    <row r="25" spans="1:14" s="1" customFormat="1" x14ac:dyDescent="0.25">
      <c r="A25" s="11" t="s">
        <v>13</v>
      </c>
      <c r="B25" s="3">
        <v>129</v>
      </c>
      <c r="C25" s="4">
        <v>43155</v>
      </c>
      <c r="D25" s="3" t="str">
        <f>"0350120150800323900"</f>
        <v>0350120150800323900</v>
      </c>
      <c r="E25" s="4">
        <v>42327</v>
      </c>
      <c r="F25" s="4">
        <v>43155</v>
      </c>
      <c r="G25" s="4">
        <v>43112</v>
      </c>
      <c r="H25" s="3" t="s">
        <v>14</v>
      </c>
      <c r="I25" s="3">
        <v>339.16</v>
      </c>
      <c r="J25" s="3">
        <v>30.83</v>
      </c>
      <c r="K25" s="3">
        <v>308.33</v>
      </c>
      <c r="L25" s="3">
        <f t="shared" si="0"/>
        <v>43</v>
      </c>
      <c r="M25" s="12">
        <f t="shared" si="1"/>
        <v>13258.189999999999</v>
      </c>
      <c r="N25" s="1" t="s">
        <v>15</v>
      </c>
    </row>
    <row r="26" spans="1:14" s="1" customFormat="1" x14ac:dyDescent="0.25">
      <c r="A26" s="11" t="s">
        <v>13</v>
      </c>
      <c r="B26" s="3">
        <v>127</v>
      </c>
      <c r="C26" s="4">
        <v>43154</v>
      </c>
      <c r="D26" s="3" t="str">
        <f>"0350120150800322800"</f>
        <v>0350120150800322800</v>
      </c>
      <c r="E26" s="4">
        <v>42327</v>
      </c>
      <c r="F26" s="4">
        <v>43155</v>
      </c>
      <c r="G26" s="4">
        <v>43112</v>
      </c>
      <c r="H26" s="3" t="s">
        <v>14</v>
      </c>
      <c r="I26" s="3">
        <v>493.65</v>
      </c>
      <c r="J26" s="3">
        <v>44.88</v>
      </c>
      <c r="K26" s="3">
        <v>448.77</v>
      </c>
      <c r="L26" s="3">
        <f t="shared" si="0"/>
        <v>43</v>
      </c>
      <c r="M26" s="12">
        <f t="shared" si="1"/>
        <v>19297.11</v>
      </c>
      <c r="N26" s="1" t="s">
        <v>15</v>
      </c>
    </row>
    <row r="27" spans="1:14" s="1" customFormat="1" x14ac:dyDescent="0.25">
      <c r="A27" s="11" t="s">
        <v>13</v>
      </c>
      <c r="B27" s="3">
        <v>129</v>
      </c>
      <c r="C27" s="4">
        <v>43155</v>
      </c>
      <c r="D27" s="3" t="str">
        <f>"0350120150800323100"</f>
        <v>0350120150800323100</v>
      </c>
      <c r="E27" s="4">
        <v>42327</v>
      </c>
      <c r="F27" s="4">
        <v>43155</v>
      </c>
      <c r="G27" s="4">
        <v>43112</v>
      </c>
      <c r="H27" s="3" t="s">
        <v>14</v>
      </c>
      <c r="I27" s="3">
        <v>205.26</v>
      </c>
      <c r="J27" s="3">
        <v>18.66</v>
      </c>
      <c r="K27" s="3">
        <v>186.6</v>
      </c>
      <c r="L27" s="3">
        <f t="shared" si="0"/>
        <v>43</v>
      </c>
      <c r="M27" s="12">
        <f t="shared" si="1"/>
        <v>8023.8</v>
      </c>
      <c r="N27" s="1" t="s">
        <v>15</v>
      </c>
    </row>
    <row r="28" spans="1:14" s="1" customFormat="1" x14ac:dyDescent="0.25">
      <c r="A28" s="11" t="s">
        <v>13</v>
      </c>
      <c r="B28" s="3">
        <v>129</v>
      </c>
      <c r="C28" s="4">
        <v>43155</v>
      </c>
      <c r="D28" s="3" t="str">
        <f>"0350120150800323600"</f>
        <v>0350120150800323600</v>
      </c>
      <c r="E28" s="4">
        <v>42327</v>
      </c>
      <c r="F28" s="4">
        <v>43155</v>
      </c>
      <c r="G28" s="4">
        <v>43112</v>
      </c>
      <c r="H28" s="3" t="s">
        <v>14</v>
      </c>
      <c r="I28" s="3">
        <v>112.49</v>
      </c>
      <c r="J28" s="3">
        <v>10.23</v>
      </c>
      <c r="K28" s="3">
        <v>102.26</v>
      </c>
      <c r="L28" s="3">
        <f t="shared" si="0"/>
        <v>43</v>
      </c>
      <c r="M28" s="12">
        <f t="shared" si="1"/>
        <v>4397.18</v>
      </c>
      <c r="N28" s="1" t="s">
        <v>15</v>
      </c>
    </row>
    <row r="29" spans="1:14" s="1" customFormat="1" x14ac:dyDescent="0.25">
      <c r="A29" s="11" t="s">
        <v>13</v>
      </c>
      <c r="B29" s="3">
        <v>129</v>
      </c>
      <c r="C29" s="4">
        <v>43155</v>
      </c>
      <c r="D29" s="3" t="str">
        <f>"0350120150800323000"</f>
        <v>0350120150800323000</v>
      </c>
      <c r="E29" s="4">
        <v>42327</v>
      </c>
      <c r="F29" s="4">
        <v>43155</v>
      </c>
      <c r="G29" s="4">
        <v>43112</v>
      </c>
      <c r="H29" s="3" t="s">
        <v>14</v>
      </c>
      <c r="I29" s="5">
        <v>2502.11</v>
      </c>
      <c r="J29" s="3">
        <v>227.46</v>
      </c>
      <c r="K29" s="5">
        <v>2274.65</v>
      </c>
      <c r="L29" s="3">
        <f t="shared" si="0"/>
        <v>43</v>
      </c>
      <c r="M29" s="12">
        <f t="shared" si="1"/>
        <v>97809.95</v>
      </c>
      <c r="N29" s="1" t="s">
        <v>15</v>
      </c>
    </row>
    <row r="30" spans="1:14" s="1" customFormat="1" x14ac:dyDescent="0.25">
      <c r="A30" s="11" t="s">
        <v>13</v>
      </c>
      <c r="B30" s="3">
        <v>129</v>
      </c>
      <c r="C30" s="4">
        <v>43155</v>
      </c>
      <c r="D30" s="3" t="str">
        <f>"0350120150800324200"</f>
        <v>0350120150800324200</v>
      </c>
      <c r="E30" s="4">
        <v>42327</v>
      </c>
      <c r="F30" s="4">
        <v>43155</v>
      </c>
      <c r="G30" s="4">
        <v>43112</v>
      </c>
      <c r="H30" s="3" t="s">
        <v>14</v>
      </c>
      <c r="I30" s="3">
        <v>463.32</v>
      </c>
      <c r="J30" s="3">
        <v>41.55</v>
      </c>
      <c r="K30" s="3">
        <v>421.77</v>
      </c>
      <c r="L30" s="3">
        <f t="shared" si="0"/>
        <v>43</v>
      </c>
      <c r="M30" s="12">
        <f t="shared" si="1"/>
        <v>18136.11</v>
      </c>
      <c r="N30" s="1" t="s">
        <v>15</v>
      </c>
    </row>
    <row r="31" spans="1:14" s="1" customFormat="1" x14ac:dyDescent="0.25">
      <c r="A31" s="11" t="s">
        <v>13</v>
      </c>
      <c r="B31" s="3">
        <v>129</v>
      </c>
      <c r="C31" s="4">
        <v>43155</v>
      </c>
      <c r="D31" s="3" t="str">
        <f>"0350120150800322600"</f>
        <v>0350120150800322600</v>
      </c>
      <c r="E31" s="4">
        <v>42327</v>
      </c>
      <c r="F31" s="4">
        <v>43155</v>
      </c>
      <c r="G31" s="4">
        <v>43112</v>
      </c>
      <c r="H31" s="3" t="s">
        <v>14</v>
      </c>
      <c r="I31" s="3">
        <v>37.82</v>
      </c>
      <c r="J31" s="3">
        <v>3.44</v>
      </c>
      <c r="K31" s="3">
        <v>34.380000000000003</v>
      </c>
      <c r="L31" s="3">
        <f t="shared" si="0"/>
        <v>43</v>
      </c>
      <c r="M31" s="12">
        <f t="shared" si="1"/>
        <v>1478.3400000000001</v>
      </c>
      <c r="N31" s="1" t="s">
        <v>15</v>
      </c>
    </row>
    <row r="32" spans="1:14" s="1" customFormat="1" x14ac:dyDescent="0.25">
      <c r="A32" s="11" t="s">
        <v>13</v>
      </c>
      <c r="B32" s="3">
        <v>129</v>
      </c>
      <c r="C32" s="4">
        <v>43155</v>
      </c>
      <c r="D32" s="3" t="str">
        <f>"0350120150800322500"</f>
        <v>0350120150800322500</v>
      </c>
      <c r="E32" s="4">
        <v>42327</v>
      </c>
      <c r="F32" s="4">
        <v>43155</v>
      </c>
      <c r="G32" s="4">
        <v>43112</v>
      </c>
      <c r="H32" s="3" t="s">
        <v>14</v>
      </c>
      <c r="I32" s="3">
        <v>16.95</v>
      </c>
      <c r="J32" s="3">
        <v>1.29</v>
      </c>
      <c r="K32" s="3">
        <v>15.66</v>
      </c>
      <c r="L32" s="3">
        <f t="shared" si="0"/>
        <v>43</v>
      </c>
      <c r="M32" s="12">
        <f t="shared" si="1"/>
        <v>673.38</v>
      </c>
      <c r="N32" s="1" t="s">
        <v>15</v>
      </c>
    </row>
    <row r="33" spans="1:14" s="1" customFormat="1" x14ac:dyDescent="0.25">
      <c r="A33" s="11" t="s">
        <v>13</v>
      </c>
      <c r="B33" s="3">
        <v>129</v>
      </c>
      <c r="C33" s="4">
        <v>43155</v>
      </c>
      <c r="D33" s="3" t="str">
        <f>"0350120150800322200"</f>
        <v>0350120150800322200</v>
      </c>
      <c r="E33" s="4">
        <v>42327</v>
      </c>
      <c r="F33" s="4">
        <v>43155</v>
      </c>
      <c r="G33" s="4">
        <v>43112</v>
      </c>
      <c r="H33" s="3" t="s">
        <v>14</v>
      </c>
      <c r="I33" s="3">
        <v>59.88</v>
      </c>
      <c r="J33" s="3">
        <v>5.44</v>
      </c>
      <c r="K33" s="3">
        <v>54.44</v>
      </c>
      <c r="L33" s="3">
        <f t="shared" si="0"/>
        <v>43</v>
      </c>
      <c r="M33" s="12">
        <f t="shared" si="1"/>
        <v>2340.92</v>
      </c>
      <c r="N33" s="1" t="s">
        <v>15</v>
      </c>
    </row>
    <row r="34" spans="1:14" s="1" customFormat="1" x14ac:dyDescent="0.25">
      <c r="A34" s="11" t="s">
        <v>13</v>
      </c>
      <c r="B34" s="3">
        <v>129</v>
      </c>
      <c r="C34" s="4">
        <v>43155</v>
      </c>
      <c r="D34" s="3" t="str">
        <f>"0350120150800323300"</f>
        <v>0350120150800323300</v>
      </c>
      <c r="E34" s="4">
        <v>42327</v>
      </c>
      <c r="F34" s="4">
        <v>43155</v>
      </c>
      <c r="G34" s="4">
        <v>43112</v>
      </c>
      <c r="H34" s="3" t="s">
        <v>14</v>
      </c>
      <c r="I34" s="3">
        <v>186.75</v>
      </c>
      <c r="J34" s="3">
        <v>16.98</v>
      </c>
      <c r="K34" s="3">
        <v>169.77</v>
      </c>
      <c r="L34" s="3">
        <f t="shared" si="0"/>
        <v>43</v>
      </c>
      <c r="M34" s="12">
        <f t="shared" si="1"/>
        <v>7300.1100000000006</v>
      </c>
      <c r="N34" s="1" t="s">
        <v>15</v>
      </c>
    </row>
    <row r="35" spans="1:14" s="1" customFormat="1" x14ac:dyDescent="0.25">
      <c r="A35" s="11" t="s">
        <v>13</v>
      </c>
      <c r="B35" s="3">
        <v>129</v>
      </c>
      <c r="C35" s="4">
        <v>43155</v>
      </c>
      <c r="D35" s="3" t="str">
        <f>"0350120150800322900"</f>
        <v>0350120150800322900</v>
      </c>
      <c r="E35" s="4">
        <v>42327</v>
      </c>
      <c r="F35" s="4">
        <v>43155</v>
      </c>
      <c r="G35" s="4">
        <v>43112</v>
      </c>
      <c r="H35" s="3" t="s">
        <v>14</v>
      </c>
      <c r="I35" s="3">
        <v>332.93</v>
      </c>
      <c r="J35" s="3">
        <v>30.27</v>
      </c>
      <c r="K35" s="3">
        <v>302.66000000000003</v>
      </c>
      <c r="L35" s="3">
        <f t="shared" si="0"/>
        <v>43</v>
      </c>
      <c r="M35" s="12">
        <f t="shared" si="1"/>
        <v>13014.380000000001</v>
      </c>
      <c r="N35" s="1" t="s">
        <v>15</v>
      </c>
    </row>
    <row r="36" spans="1:14" s="1" customFormat="1" x14ac:dyDescent="0.25">
      <c r="A36" s="11" t="s">
        <v>13</v>
      </c>
      <c r="B36" s="3">
        <v>129</v>
      </c>
      <c r="C36" s="4">
        <v>43155</v>
      </c>
      <c r="D36" s="3" t="str">
        <f>"0350120150800324400"</f>
        <v>0350120150800324400</v>
      </c>
      <c r="E36" s="4">
        <v>42327</v>
      </c>
      <c r="F36" s="4">
        <v>43155</v>
      </c>
      <c r="G36" s="4">
        <v>43112</v>
      </c>
      <c r="H36" s="3" t="s">
        <v>14</v>
      </c>
      <c r="I36" s="3">
        <v>118.59</v>
      </c>
      <c r="J36" s="3">
        <v>10.78</v>
      </c>
      <c r="K36" s="3">
        <v>107.81</v>
      </c>
      <c r="L36" s="3">
        <f t="shared" si="0"/>
        <v>43</v>
      </c>
      <c r="M36" s="12">
        <f t="shared" si="1"/>
        <v>4635.83</v>
      </c>
      <c r="N36" s="1" t="s">
        <v>15</v>
      </c>
    </row>
    <row r="37" spans="1:14" s="1" customFormat="1" x14ac:dyDescent="0.25">
      <c r="A37" s="11" t="s">
        <v>13</v>
      </c>
      <c r="B37" s="3">
        <v>129</v>
      </c>
      <c r="C37" s="4">
        <v>43155</v>
      </c>
      <c r="D37" s="3" t="str">
        <f>"0350120150800333200"</f>
        <v>0350120150800333200</v>
      </c>
      <c r="E37" s="4">
        <v>42327</v>
      </c>
      <c r="F37" s="4">
        <v>43155</v>
      </c>
      <c r="G37" s="4">
        <v>43112</v>
      </c>
      <c r="H37" s="3" t="s">
        <v>14</v>
      </c>
      <c r="I37" s="3">
        <v>139.35</v>
      </c>
      <c r="J37" s="3">
        <v>12.67</v>
      </c>
      <c r="K37" s="3">
        <v>126.68</v>
      </c>
      <c r="L37" s="3">
        <f t="shared" si="0"/>
        <v>43</v>
      </c>
      <c r="M37" s="12">
        <f t="shared" si="1"/>
        <v>5447.2400000000007</v>
      </c>
      <c r="N37" s="1" t="s">
        <v>15</v>
      </c>
    </row>
    <row r="38" spans="1:14" s="1" customFormat="1" x14ac:dyDescent="0.25">
      <c r="A38" s="11" t="s">
        <v>22</v>
      </c>
      <c r="B38" s="3">
        <v>257</v>
      </c>
      <c r="C38" s="4">
        <v>43162</v>
      </c>
      <c r="D38" s="3" t="s">
        <v>23</v>
      </c>
      <c r="E38" s="4">
        <v>43090</v>
      </c>
      <c r="F38" s="4">
        <v>43162</v>
      </c>
      <c r="G38" s="4">
        <v>43120</v>
      </c>
      <c r="H38" s="3" t="s">
        <v>14</v>
      </c>
      <c r="I38" s="3">
        <v>992.37</v>
      </c>
      <c r="J38" s="3">
        <v>178.95</v>
      </c>
      <c r="K38" s="3">
        <v>813.42</v>
      </c>
      <c r="L38" s="3">
        <f t="shared" si="0"/>
        <v>42</v>
      </c>
      <c r="M38" s="12">
        <f t="shared" si="1"/>
        <v>34163.64</v>
      </c>
      <c r="N38" s="1" t="s">
        <v>24</v>
      </c>
    </row>
    <row r="39" spans="1:14" s="1" customFormat="1" x14ac:dyDescent="0.25">
      <c r="A39" s="11" t="s">
        <v>25</v>
      </c>
      <c r="B39" s="3">
        <v>274</v>
      </c>
      <c r="C39" s="4">
        <v>43169</v>
      </c>
      <c r="D39" s="3" t="s">
        <v>26</v>
      </c>
      <c r="E39" s="4">
        <v>43096</v>
      </c>
      <c r="F39" s="4">
        <v>43169</v>
      </c>
      <c r="G39" s="4">
        <v>43127</v>
      </c>
      <c r="H39" s="3" t="s">
        <v>14</v>
      </c>
      <c r="I39" s="3">
        <v>390.4</v>
      </c>
      <c r="J39" s="3">
        <v>70.400000000000006</v>
      </c>
      <c r="K39" s="3">
        <v>320</v>
      </c>
      <c r="L39" s="3">
        <f t="shared" si="0"/>
        <v>42</v>
      </c>
      <c r="M39" s="12">
        <f t="shared" si="1"/>
        <v>13440</v>
      </c>
      <c r="N39" s="1" t="s">
        <v>27</v>
      </c>
    </row>
    <row r="40" spans="1:14" s="1" customFormat="1" x14ac:dyDescent="0.25">
      <c r="A40" s="11" t="s">
        <v>28</v>
      </c>
      <c r="B40" s="3">
        <v>273</v>
      </c>
      <c r="C40" s="4">
        <v>43169</v>
      </c>
      <c r="D40" s="3" t="s">
        <v>29</v>
      </c>
      <c r="E40" s="4">
        <v>43088</v>
      </c>
      <c r="F40" s="4">
        <v>43169</v>
      </c>
      <c r="G40" s="4">
        <v>43131</v>
      </c>
      <c r="H40" s="3" t="s">
        <v>14</v>
      </c>
      <c r="I40" s="5">
        <v>1290.3800000000001</v>
      </c>
      <c r="J40" s="3">
        <v>232.69</v>
      </c>
      <c r="K40" s="5">
        <v>1057.69</v>
      </c>
      <c r="L40" s="3">
        <f t="shared" si="0"/>
        <v>38</v>
      </c>
      <c r="M40" s="12">
        <f t="shared" si="1"/>
        <v>40192.22</v>
      </c>
      <c r="N40" s="1" t="s">
        <v>24</v>
      </c>
    </row>
    <row r="41" spans="1:14" s="1" customFormat="1" x14ac:dyDescent="0.25">
      <c r="A41" s="11" t="s">
        <v>28</v>
      </c>
      <c r="B41" s="3">
        <v>273</v>
      </c>
      <c r="C41" s="4">
        <v>43169</v>
      </c>
      <c r="D41" s="3" t="s">
        <v>29</v>
      </c>
      <c r="E41" s="4">
        <v>43088</v>
      </c>
      <c r="F41" s="4">
        <v>43169</v>
      </c>
      <c r="G41" s="4">
        <v>43131</v>
      </c>
      <c r="H41" s="3" t="s">
        <v>14</v>
      </c>
      <c r="I41" s="3">
        <v>51.62</v>
      </c>
      <c r="J41" s="3">
        <v>9.31</v>
      </c>
      <c r="K41" s="3">
        <v>42.31</v>
      </c>
      <c r="L41" s="3">
        <f t="shared" si="0"/>
        <v>38</v>
      </c>
      <c r="M41" s="12">
        <f t="shared" si="1"/>
        <v>1607.7800000000002</v>
      </c>
      <c r="N41" s="1" t="s">
        <v>24</v>
      </c>
    </row>
    <row r="42" spans="1:14" s="1" customFormat="1" x14ac:dyDescent="0.25">
      <c r="A42" s="11" t="s">
        <v>30</v>
      </c>
      <c r="B42" s="3">
        <v>305</v>
      </c>
      <c r="C42" s="4">
        <v>43169</v>
      </c>
      <c r="D42" s="3" t="s">
        <v>31</v>
      </c>
      <c r="E42" s="4">
        <v>43131</v>
      </c>
      <c r="F42" s="4">
        <v>43169</v>
      </c>
      <c r="G42" s="4">
        <v>43131</v>
      </c>
      <c r="H42" s="3" t="s">
        <v>14</v>
      </c>
      <c r="I42" s="3">
        <v>631</v>
      </c>
      <c r="J42" s="3">
        <v>0</v>
      </c>
      <c r="K42" s="3">
        <v>631</v>
      </c>
      <c r="L42" s="3">
        <f t="shared" si="0"/>
        <v>38</v>
      </c>
      <c r="M42" s="12">
        <f t="shared" si="1"/>
        <v>23978</v>
      </c>
      <c r="N42" s="1" t="s">
        <v>32</v>
      </c>
    </row>
    <row r="43" spans="1:14" s="1" customFormat="1" ht="30" x14ac:dyDescent="0.25">
      <c r="A43" s="11" t="s">
        <v>33</v>
      </c>
      <c r="B43" s="3">
        <v>330</v>
      </c>
      <c r="C43" s="4">
        <v>43176</v>
      </c>
      <c r="D43" s="3" t="s">
        <v>34</v>
      </c>
      <c r="E43" s="4">
        <v>43098</v>
      </c>
      <c r="F43" s="4">
        <v>43197</v>
      </c>
      <c r="G43" s="4">
        <v>43159</v>
      </c>
      <c r="H43" s="3" t="s">
        <v>14</v>
      </c>
      <c r="I43" s="5">
        <v>6548.28</v>
      </c>
      <c r="J43" s="3">
        <v>311.82</v>
      </c>
      <c r="K43" s="5">
        <v>6236.46</v>
      </c>
      <c r="L43" s="3">
        <f t="shared" si="0"/>
        <v>38</v>
      </c>
      <c r="M43" s="12">
        <f t="shared" si="1"/>
        <v>236985.48</v>
      </c>
      <c r="N43" s="1" t="s">
        <v>35</v>
      </c>
    </row>
    <row r="44" spans="1:14" s="1" customFormat="1" x14ac:dyDescent="0.25">
      <c r="A44" s="11" t="s">
        <v>36</v>
      </c>
      <c r="B44" s="3">
        <v>281</v>
      </c>
      <c r="C44" s="4">
        <v>43169</v>
      </c>
      <c r="D44" s="3" t="s">
        <v>37</v>
      </c>
      <c r="E44" s="4">
        <v>43102</v>
      </c>
      <c r="F44" s="4">
        <v>43169</v>
      </c>
      <c r="G44" s="4">
        <v>43132</v>
      </c>
      <c r="H44" s="3" t="s">
        <v>14</v>
      </c>
      <c r="I44" s="3">
        <v>633.84</v>
      </c>
      <c r="J44" s="3">
        <v>114.3</v>
      </c>
      <c r="K44" s="3">
        <v>519.54</v>
      </c>
      <c r="L44" s="3">
        <f t="shared" si="0"/>
        <v>37</v>
      </c>
      <c r="M44" s="12">
        <f t="shared" si="1"/>
        <v>19222.98</v>
      </c>
      <c r="N44" s="1" t="s">
        <v>24</v>
      </c>
    </row>
    <row r="45" spans="1:14" s="1" customFormat="1" x14ac:dyDescent="0.25">
      <c r="A45" s="11" t="s">
        <v>36</v>
      </c>
      <c r="B45" s="3">
        <v>287</v>
      </c>
      <c r="C45" s="4">
        <v>43169</v>
      </c>
      <c r="D45" s="3" t="s">
        <v>38</v>
      </c>
      <c r="E45" s="4">
        <v>43102</v>
      </c>
      <c r="F45" s="4">
        <v>43169</v>
      </c>
      <c r="G45" s="4">
        <v>43132</v>
      </c>
      <c r="H45" s="3" t="s">
        <v>14</v>
      </c>
      <c r="I45" s="5">
        <v>4975.71</v>
      </c>
      <c r="J45" s="3">
        <v>897.26</v>
      </c>
      <c r="K45" s="5">
        <v>4078.45</v>
      </c>
      <c r="L45" s="3">
        <f t="shared" si="0"/>
        <v>37</v>
      </c>
      <c r="M45" s="12">
        <f t="shared" si="1"/>
        <v>150902.65</v>
      </c>
      <c r="N45" s="1" t="s">
        <v>24</v>
      </c>
    </row>
    <row r="46" spans="1:14" s="1" customFormat="1" x14ac:dyDescent="0.25">
      <c r="A46" s="11" t="s">
        <v>36</v>
      </c>
      <c r="B46" s="3">
        <v>282</v>
      </c>
      <c r="C46" s="4">
        <v>43169</v>
      </c>
      <c r="D46" s="3" t="s">
        <v>39</v>
      </c>
      <c r="E46" s="4">
        <v>43102</v>
      </c>
      <c r="F46" s="4">
        <v>43169</v>
      </c>
      <c r="G46" s="4">
        <v>43132</v>
      </c>
      <c r="H46" s="3" t="s">
        <v>14</v>
      </c>
      <c r="I46" s="5">
        <v>1380.87</v>
      </c>
      <c r="J46" s="3">
        <v>249.01</v>
      </c>
      <c r="K46" s="5">
        <v>1131.8599999999999</v>
      </c>
      <c r="L46" s="3">
        <f t="shared" si="0"/>
        <v>37</v>
      </c>
      <c r="M46" s="12">
        <f t="shared" si="1"/>
        <v>41878.82</v>
      </c>
      <c r="N46" s="1" t="s">
        <v>24</v>
      </c>
    </row>
    <row r="47" spans="1:14" s="1" customFormat="1" x14ac:dyDescent="0.25">
      <c r="A47" s="11" t="s">
        <v>36</v>
      </c>
      <c r="B47" s="3">
        <v>280</v>
      </c>
      <c r="C47" s="4">
        <v>43169</v>
      </c>
      <c r="D47" s="3" t="s">
        <v>40</v>
      </c>
      <c r="E47" s="4">
        <v>43102</v>
      </c>
      <c r="F47" s="4">
        <v>43169</v>
      </c>
      <c r="G47" s="4">
        <v>43132</v>
      </c>
      <c r="H47" s="3" t="s">
        <v>14</v>
      </c>
      <c r="I47" s="3">
        <v>911.14</v>
      </c>
      <c r="J47" s="3">
        <v>164.3</v>
      </c>
      <c r="K47" s="3">
        <v>746.84</v>
      </c>
      <c r="L47" s="3">
        <f t="shared" si="0"/>
        <v>37</v>
      </c>
      <c r="M47" s="12">
        <f t="shared" si="1"/>
        <v>27633.08</v>
      </c>
      <c r="N47" s="1" t="s">
        <v>24</v>
      </c>
    </row>
    <row r="48" spans="1:14" s="1" customFormat="1" x14ac:dyDescent="0.25">
      <c r="A48" s="11" t="s">
        <v>36</v>
      </c>
      <c r="B48" s="3">
        <v>277</v>
      </c>
      <c r="C48" s="4">
        <v>43169</v>
      </c>
      <c r="D48" s="3" t="s">
        <v>41</v>
      </c>
      <c r="E48" s="4">
        <v>43102</v>
      </c>
      <c r="F48" s="4">
        <v>43169</v>
      </c>
      <c r="G48" s="4">
        <v>43132</v>
      </c>
      <c r="H48" s="3" t="s">
        <v>14</v>
      </c>
      <c r="I48" s="3">
        <v>896.52</v>
      </c>
      <c r="J48" s="3">
        <v>161.66999999999999</v>
      </c>
      <c r="K48" s="3">
        <v>734.85</v>
      </c>
      <c r="L48" s="3">
        <f t="shared" si="0"/>
        <v>37</v>
      </c>
      <c r="M48" s="12">
        <f t="shared" si="1"/>
        <v>27189.45</v>
      </c>
      <c r="N48" s="1" t="s">
        <v>24</v>
      </c>
    </row>
    <row r="49" spans="1:14" s="1" customFormat="1" x14ac:dyDescent="0.25">
      <c r="A49" s="11" t="s">
        <v>36</v>
      </c>
      <c r="B49" s="3">
        <v>286</v>
      </c>
      <c r="C49" s="4">
        <v>43169</v>
      </c>
      <c r="D49" s="3" t="s">
        <v>42</v>
      </c>
      <c r="E49" s="4">
        <v>43102</v>
      </c>
      <c r="F49" s="4">
        <v>43169</v>
      </c>
      <c r="G49" s="4">
        <v>43132</v>
      </c>
      <c r="H49" s="3" t="s">
        <v>14</v>
      </c>
      <c r="I49" s="3">
        <v>544.36</v>
      </c>
      <c r="J49" s="3">
        <v>98.16</v>
      </c>
      <c r="K49" s="3">
        <v>446.2</v>
      </c>
      <c r="L49" s="3">
        <f t="shared" si="0"/>
        <v>37</v>
      </c>
      <c r="M49" s="12">
        <f t="shared" si="1"/>
        <v>16509.399999999998</v>
      </c>
      <c r="N49" s="1" t="s">
        <v>24</v>
      </c>
    </row>
    <row r="50" spans="1:14" s="1" customFormat="1" x14ac:dyDescent="0.25">
      <c r="A50" s="11" t="s">
        <v>36</v>
      </c>
      <c r="B50" s="3">
        <v>284</v>
      </c>
      <c r="C50" s="4">
        <v>43169</v>
      </c>
      <c r="D50" s="3" t="s">
        <v>43</v>
      </c>
      <c r="E50" s="4">
        <v>43102</v>
      </c>
      <c r="F50" s="4">
        <v>43169</v>
      </c>
      <c r="G50" s="4">
        <v>43132</v>
      </c>
      <c r="H50" s="3" t="s">
        <v>14</v>
      </c>
      <c r="I50" s="3">
        <v>221.2</v>
      </c>
      <c r="J50" s="3">
        <v>39.89</v>
      </c>
      <c r="K50" s="3">
        <v>181.31</v>
      </c>
      <c r="L50" s="3">
        <f t="shared" si="0"/>
        <v>37</v>
      </c>
      <c r="M50" s="12">
        <f t="shared" si="1"/>
        <v>6708.47</v>
      </c>
      <c r="N50" s="1" t="s">
        <v>24</v>
      </c>
    </row>
    <row r="51" spans="1:14" s="1" customFormat="1" x14ac:dyDescent="0.25">
      <c r="A51" s="11" t="s">
        <v>36</v>
      </c>
      <c r="B51" s="3">
        <v>283</v>
      </c>
      <c r="C51" s="4">
        <v>43169</v>
      </c>
      <c r="D51" s="3" t="s">
        <v>44</v>
      </c>
      <c r="E51" s="4">
        <v>43102</v>
      </c>
      <c r="F51" s="4">
        <v>43169</v>
      </c>
      <c r="G51" s="4">
        <v>43132</v>
      </c>
      <c r="H51" s="3" t="s">
        <v>14</v>
      </c>
      <c r="I51" s="3">
        <v>376</v>
      </c>
      <c r="J51" s="3">
        <v>67.8</v>
      </c>
      <c r="K51" s="3">
        <v>308.2</v>
      </c>
      <c r="L51" s="3">
        <f t="shared" si="0"/>
        <v>37</v>
      </c>
      <c r="M51" s="12">
        <f t="shared" si="1"/>
        <v>11403.4</v>
      </c>
      <c r="N51" s="1" t="s">
        <v>24</v>
      </c>
    </row>
    <row r="52" spans="1:14" s="1" customFormat="1" x14ac:dyDescent="0.25">
      <c r="A52" s="11" t="s">
        <v>36</v>
      </c>
      <c r="B52" s="3">
        <v>279</v>
      </c>
      <c r="C52" s="4">
        <v>43169</v>
      </c>
      <c r="D52" s="3" t="s">
        <v>45</v>
      </c>
      <c r="E52" s="4">
        <v>43102</v>
      </c>
      <c r="F52" s="4">
        <v>43169</v>
      </c>
      <c r="G52" s="4">
        <v>43132</v>
      </c>
      <c r="H52" s="3" t="s">
        <v>14</v>
      </c>
      <c r="I52" s="3">
        <v>810.51</v>
      </c>
      <c r="J52" s="3">
        <v>146.16</v>
      </c>
      <c r="K52" s="3">
        <v>664.35</v>
      </c>
      <c r="L52" s="3">
        <f t="shared" si="0"/>
        <v>37</v>
      </c>
      <c r="M52" s="12">
        <f t="shared" si="1"/>
        <v>24580.95</v>
      </c>
      <c r="N52" s="1" t="s">
        <v>24</v>
      </c>
    </row>
    <row r="53" spans="1:14" s="1" customFormat="1" x14ac:dyDescent="0.25">
      <c r="A53" s="11" t="s">
        <v>36</v>
      </c>
      <c r="B53" s="3">
        <v>278</v>
      </c>
      <c r="C53" s="4">
        <v>43169</v>
      </c>
      <c r="D53" s="3" t="s">
        <v>46</v>
      </c>
      <c r="E53" s="4">
        <v>43102</v>
      </c>
      <c r="F53" s="4">
        <v>43169</v>
      </c>
      <c r="G53" s="4">
        <v>43132</v>
      </c>
      <c r="H53" s="3" t="s">
        <v>14</v>
      </c>
      <c r="I53" s="3">
        <v>230.84</v>
      </c>
      <c r="J53" s="3">
        <v>41.63</v>
      </c>
      <c r="K53" s="3">
        <v>189.21</v>
      </c>
      <c r="L53" s="3">
        <f t="shared" si="0"/>
        <v>37</v>
      </c>
      <c r="M53" s="12">
        <f t="shared" si="1"/>
        <v>7000.77</v>
      </c>
      <c r="N53" s="1" t="s">
        <v>24</v>
      </c>
    </row>
    <row r="54" spans="1:14" s="1" customFormat="1" x14ac:dyDescent="0.25">
      <c r="A54" s="11" t="s">
        <v>36</v>
      </c>
      <c r="B54" s="3">
        <v>285</v>
      </c>
      <c r="C54" s="4">
        <v>43169</v>
      </c>
      <c r="D54" s="3" t="s">
        <v>47</v>
      </c>
      <c r="E54" s="4">
        <v>43102</v>
      </c>
      <c r="F54" s="4">
        <v>43169</v>
      </c>
      <c r="G54" s="4">
        <v>43132</v>
      </c>
      <c r="H54" s="3" t="s">
        <v>14</v>
      </c>
      <c r="I54" s="3">
        <v>430.84</v>
      </c>
      <c r="J54" s="3">
        <v>77.69</v>
      </c>
      <c r="K54" s="3">
        <v>353.15</v>
      </c>
      <c r="L54" s="3">
        <f t="shared" si="0"/>
        <v>37</v>
      </c>
      <c r="M54" s="12">
        <f t="shared" si="1"/>
        <v>13066.55</v>
      </c>
      <c r="N54" s="1" t="s">
        <v>24</v>
      </c>
    </row>
    <row r="55" spans="1:14" s="1" customFormat="1" x14ac:dyDescent="0.25">
      <c r="A55" s="11" t="s">
        <v>48</v>
      </c>
      <c r="B55" s="3">
        <v>151</v>
      </c>
      <c r="C55" s="4">
        <v>43155</v>
      </c>
      <c r="D55" s="3" t="s">
        <v>49</v>
      </c>
      <c r="E55" s="4">
        <v>43090</v>
      </c>
      <c r="F55" s="4">
        <v>43155</v>
      </c>
      <c r="G55" s="4">
        <v>43120</v>
      </c>
      <c r="H55" s="3" t="s">
        <v>14</v>
      </c>
      <c r="I55" s="5">
        <v>10858</v>
      </c>
      <c r="J55" s="5">
        <v>1958</v>
      </c>
      <c r="K55" s="5">
        <v>8900</v>
      </c>
      <c r="L55" s="3">
        <f t="shared" si="0"/>
        <v>35</v>
      </c>
      <c r="M55" s="12">
        <f t="shared" si="1"/>
        <v>311500</v>
      </c>
      <c r="N55" s="1" t="s">
        <v>17</v>
      </c>
    </row>
    <row r="56" spans="1:14" s="1" customFormat="1" x14ac:dyDescent="0.25">
      <c r="A56" s="11" t="s">
        <v>50</v>
      </c>
      <c r="B56" s="3">
        <v>269</v>
      </c>
      <c r="C56" s="4">
        <v>43162</v>
      </c>
      <c r="D56" s="3" t="s">
        <v>51</v>
      </c>
      <c r="E56" s="4">
        <v>43098</v>
      </c>
      <c r="F56" s="4">
        <v>43162</v>
      </c>
      <c r="G56" s="4">
        <v>43129</v>
      </c>
      <c r="H56" s="3" t="s">
        <v>14</v>
      </c>
      <c r="I56" s="3">
        <v>295</v>
      </c>
      <c r="J56" s="3">
        <v>0</v>
      </c>
      <c r="K56" s="3">
        <v>295</v>
      </c>
      <c r="L56" s="3">
        <f t="shared" si="0"/>
        <v>33</v>
      </c>
      <c r="M56" s="12">
        <f t="shared" si="1"/>
        <v>9735</v>
      </c>
      <c r="N56" s="1" t="s">
        <v>52</v>
      </c>
    </row>
    <row r="57" spans="1:14" s="1" customFormat="1" x14ac:dyDescent="0.25">
      <c r="A57" s="11" t="s">
        <v>53</v>
      </c>
      <c r="B57" s="3">
        <v>271</v>
      </c>
      <c r="C57" s="4">
        <v>43162</v>
      </c>
      <c r="D57" s="3" t="str">
        <f>"0001137578"</f>
        <v>0001137578</v>
      </c>
      <c r="E57" s="4">
        <v>43100</v>
      </c>
      <c r="F57" s="4">
        <v>43162</v>
      </c>
      <c r="G57" s="4">
        <v>43131</v>
      </c>
      <c r="H57" s="3" t="s">
        <v>14</v>
      </c>
      <c r="I57" s="3">
        <v>398.95</v>
      </c>
      <c r="J57" s="3">
        <v>0</v>
      </c>
      <c r="K57" s="3">
        <v>398.95</v>
      </c>
      <c r="L57" s="3">
        <f t="shared" si="0"/>
        <v>31</v>
      </c>
      <c r="M57" s="12">
        <f t="shared" si="1"/>
        <v>12367.449999999999</v>
      </c>
      <c r="N57" s="1" t="s">
        <v>27</v>
      </c>
    </row>
    <row r="58" spans="1:14" s="1" customFormat="1" x14ac:dyDescent="0.25">
      <c r="A58" s="11" t="s">
        <v>53</v>
      </c>
      <c r="B58" s="3">
        <v>271</v>
      </c>
      <c r="C58" s="4">
        <v>43162</v>
      </c>
      <c r="D58" s="3" t="str">
        <f>"0001137938"</f>
        <v>0001137938</v>
      </c>
      <c r="E58" s="4">
        <v>43100</v>
      </c>
      <c r="F58" s="4">
        <v>43162</v>
      </c>
      <c r="G58" s="4">
        <v>43131</v>
      </c>
      <c r="H58" s="3" t="s">
        <v>14</v>
      </c>
      <c r="I58" s="3">
        <v>598.4</v>
      </c>
      <c r="J58" s="3">
        <v>0</v>
      </c>
      <c r="K58" s="3">
        <v>598.4</v>
      </c>
      <c r="L58" s="3">
        <f t="shared" si="0"/>
        <v>31</v>
      </c>
      <c r="M58" s="12">
        <f t="shared" si="1"/>
        <v>18550.399999999998</v>
      </c>
      <c r="N58" s="1" t="s">
        <v>27</v>
      </c>
    </row>
    <row r="59" spans="1:14" s="1" customFormat="1" x14ac:dyDescent="0.25">
      <c r="A59" s="11" t="s">
        <v>54</v>
      </c>
      <c r="B59" s="3">
        <v>259</v>
      </c>
      <c r="C59" s="4">
        <v>43162</v>
      </c>
      <c r="D59" s="3" t="str">
        <f>"1221799210"</f>
        <v>1221799210</v>
      </c>
      <c r="E59" s="4">
        <v>43100</v>
      </c>
      <c r="F59" s="4">
        <v>43162</v>
      </c>
      <c r="G59" s="4">
        <v>43131</v>
      </c>
      <c r="H59" s="3" t="s">
        <v>14</v>
      </c>
      <c r="I59" s="3">
        <v>158.6</v>
      </c>
      <c r="J59" s="3">
        <v>28.6</v>
      </c>
      <c r="K59" s="3">
        <v>130</v>
      </c>
      <c r="L59" s="3">
        <f t="shared" si="0"/>
        <v>31</v>
      </c>
      <c r="M59" s="12">
        <f t="shared" si="1"/>
        <v>4030</v>
      </c>
      <c r="N59" s="1" t="s">
        <v>55</v>
      </c>
    </row>
    <row r="60" spans="1:14" s="1" customFormat="1" x14ac:dyDescent="0.25">
      <c r="A60" s="11" t="s">
        <v>56</v>
      </c>
      <c r="B60" s="3">
        <v>260</v>
      </c>
      <c r="C60" s="4">
        <v>43162</v>
      </c>
      <c r="D60" s="3" t="s">
        <v>57</v>
      </c>
      <c r="E60" s="4">
        <v>43100</v>
      </c>
      <c r="F60" s="4">
        <v>43162</v>
      </c>
      <c r="G60" s="4">
        <v>43131</v>
      </c>
      <c r="H60" s="3" t="s">
        <v>14</v>
      </c>
      <c r="I60" s="3">
        <v>73.2</v>
      </c>
      <c r="J60" s="3">
        <v>13.2</v>
      </c>
      <c r="K60" s="3">
        <v>60</v>
      </c>
      <c r="L60" s="3">
        <f t="shared" si="0"/>
        <v>31</v>
      </c>
      <c r="M60" s="12">
        <f t="shared" si="1"/>
        <v>1860</v>
      </c>
      <c r="N60" s="1" t="s">
        <v>58</v>
      </c>
    </row>
    <row r="61" spans="1:14" s="1" customFormat="1" x14ac:dyDescent="0.25">
      <c r="A61" s="11" t="s">
        <v>59</v>
      </c>
      <c r="B61" s="3">
        <v>303</v>
      </c>
      <c r="C61" s="4">
        <v>43169</v>
      </c>
      <c r="D61" s="3" t="s">
        <v>60</v>
      </c>
      <c r="E61" s="4">
        <v>43108</v>
      </c>
      <c r="F61" s="4">
        <v>43169</v>
      </c>
      <c r="G61" s="4">
        <v>43139</v>
      </c>
      <c r="H61" s="3" t="s">
        <v>61</v>
      </c>
      <c r="I61" s="3">
        <v>994.3</v>
      </c>
      <c r="J61" s="3">
        <v>179.3</v>
      </c>
      <c r="K61" s="3">
        <v>815</v>
      </c>
      <c r="L61" s="3">
        <f t="shared" si="0"/>
        <v>30</v>
      </c>
      <c r="M61" s="12">
        <f t="shared" si="1"/>
        <v>24450</v>
      </c>
      <c r="N61" s="1" t="s">
        <v>62</v>
      </c>
    </row>
    <row r="62" spans="1:14" s="1" customFormat="1" x14ac:dyDescent="0.25">
      <c r="A62" s="11" t="s">
        <v>63</v>
      </c>
      <c r="B62" s="3">
        <v>272</v>
      </c>
      <c r="C62" s="4">
        <v>43169</v>
      </c>
      <c r="D62" s="3" t="s">
        <v>64</v>
      </c>
      <c r="E62" s="4">
        <v>43109</v>
      </c>
      <c r="F62" s="4">
        <v>43169</v>
      </c>
      <c r="G62" s="4">
        <v>43140</v>
      </c>
      <c r="H62" s="3" t="s">
        <v>14</v>
      </c>
      <c r="I62" s="5">
        <v>5309.93</v>
      </c>
      <c r="J62" s="3">
        <v>957.53</v>
      </c>
      <c r="K62" s="5">
        <v>4352.3999999999996</v>
      </c>
      <c r="L62" s="3">
        <f>+F62-G62</f>
        <v>29</v>
      </c>
      <c r="M62" s="12">
        <f t="shared" si="1"/>
        <v>126219.59999999999</v>
      </c>
      <c r="N62" s="1" t="s">
        <v>58</v>
      </c>
    </row>
    <row r="63" spans="1:14" s="1" customFormat="1" x14ac:dyDescent="0.25">
      <c r="A63" s="11" t="s">
        <v>65</v>
      </c>
      <c r="B63" s="3">
        <v>131</v>
      </c>
      <c r="C63" s="4">
        <v>43155</v>
      </c>
      <c r="D63" s="3" t="str">
        <f>"98"</f>
        <v>98</v>
      </c>
      <c r="E63" s="4">
        <v>43075</v>
      </c>
      <c r="F63" s="4">
        <v>43155</v>
      </c>
      <c r="G63" s="4">
        <v>43128</v>
      </c>
      <c r="H63" s="3" t="s">
        <v>61</v>
      </c>
      <c r="I63" s="5">
        <v>4399.93</v>
      </c>
      <c r="J63" s="3">
        <v>793.43</v>
      </c>
      <c r="K63" s="5">
        <v>3606.5</v>
      </c>
      <c r="L63" s="3">
        <f t="shared" si="0"/>
        <v>27</v>
      </c>
      <c r="M63" s="12">
        <f t="shared" si="1"/>
        <v>97375.5</v>
      </c>
      <c r="N63" s="1" t="s">
        <v>52</v>
      </c>
    </row>
    <row r="64" spans="1:14" s="1" customFormat="1" x14ac:dyDescent="0.25">
      <c r="A64" s="11" t="s">
        <v>66</v>
      </c>
      <c r="B64" s="3">
        <v>270</v>
      </c>
      <c r="C64" s="4">
        <v>43162</v>
      </c>
      <c r="D64" s="3" t="str">
        <f>"21796"</f>
        <v>21796</v>
      </c>
      <c r="E64" s="4">
        <v>43098</v>
      </c>
      <c r="F64" s="4">
        <v>43162</v>
      </c>
      <c r="G64" s="4">
        <v>43135</v>
      </c>
      <c r="H64" s="3" t="s">
        <v>14</v>
      </c>
      <c r="I64" s="3">
        <v>23.18</v>
      </c>
      <c r="J64" s="3">
        <v>0</v>
      </c>
      <c r="K64" s="3">
        <v>23.18</v>
      </c>
      <c r="L64" s="3">
        <f t="shared" si="0"/>
        <v>27</v>
      </c>
      <c r="M64" s="12">
        <f t="shared" si="1"/>
        <v>625.86</v>
      </c>
      <c r="N64" s="1" t="s">
        <v>67</v>
      </c>
    </row>
    <row r="65" spans="1:14" s="1" customFormat="1" x14ac:dyDescent="0.25">
      <c r="A65" s="11" t="s">
        <v>20</v>
      </c>
      <c r="B65" s="3">
        <v>144</v>
      </c>
      <c r="C65" s="4">
        <v>43155</v>
      </c>
      <c r="D65" s="3" t="str">
        <f>"17145"</f>
        <v>17145</v>
      </c>
      <c r="E65" s="4">
        <v>43069</v>
      </c>
      <c r="F65" s="4">
        <v>43155</v>
      </c>
      <c r="G65" s="4">
        <v>43129</v>
      </c>
      <c r="H65" s="3" t="s">
        <v>14</v>
      </c>
      <c r="I65" s="5">
        <v>9701.92</v>
      </c>
      <c r="J65" s="5">
        <v>1749.53</v>
      </c>
      <c r="K65" s="5">
        <v>7952.39</v>
      </c>
      <c r="L65" s="3">
        <f t="shared" si="0"/>
        <v>26</v>
      </c>
      <c r="M65" s="12">
        <f t="shared" si="1"/>
        <v>206762.14</v>
      </c>
      <c r="N65" s="1" t="s">
        <v>21</v>
      </c>
    </row>
    <row r="66" spans="1:14" s="1" customFormat="1" x14ac:dyDescent="0.25">
      <c r="A66" s="11" t="s">
        <v>68</v>
      </c>
      <c r="B66" s="3">
        <v>150</v>
      </c>
      <c r="C66" s="4">
        <v>43155</v>
      </c>
      <c r="D66" s="3" t="str">
        <f>"117037579"</f>
        <v>117037579</v>
      </c>
      <c r="E66" s="4">
        <v>43098</v>
      </c>
      <c r="F66" s="4">
        <v>43155</v>
      </c>
      <c r="G66" s="4">
        <v>43129</v>
      </c>
      <c r="H66" s="3" t="s">
        <v>14</v>
      </c>
      <c r="I66" s="3">
        <v>164.7</v>
      </c>
      <c r="J66" s="3">
        <v>29.7</v>
      </c>
      <c r="K66" s="3">
        <v>135</v>
      </c>
      <c r="L66" s="3">
        <f t="shared" si="0"/>
        <v>26</v>
      </c>
      <c r="M66" s="12">
        <f t="shared" si="1"/>
        <v>3510</v>
      </c>
      <c r="N66" s="1" t="s">
        <v>67</v>
      </c>
    </row>
    <row r="67" spans="1:14" s="1" customFormat="1" x14ac:dyDescent="0.25">
      <c r="A67" s="11" t="s">
        <v>69</v>
      </c>
      <c r="B67" s="3">
        <v>250</v>
      </c>
      <c r="C67" s="4">
        <v>43162</v>
      </c>
      <c r="D67" s="3" t="s">
        <v>70</v>
      </c>
      <c r="E67" s="4">
        <v>43105</v>
      </c>
      <c r="F67" s="4">
        <v>43162</v>
      </c>
      <c r="G67" s="4">
        <v>43136</v>
      </c>
      <c r="H67" s="3" t="s">
        <v>14</v>
      </c>
      <c r="I67" s="5">
        <v>2926.38</v>
      </c>
      <c r="J67" s="3">
        <v>527.71</v>
      </c>
      <c r="K67" s="5">
        <v>2398.67</v>
      </c>
      <c r="L67" s="3">
        <f t="shared" ref="L67:L93" si="2">+F67-G67</f>
        <v>26</v>
      </c>
      <c r="M67" s="12">
        <f t="shared" ref="M67:M130" si="3">+K67*L67</f>
        <v>62365.42</v>
      </c>
      <c r="N67" s="1" t="s">
        <v>19</v>
      </c>
    </row>
    <row r="68" spans="1:14" s="1" customFormat="1" ht="30" x14ac:dyDescent="0.25">
      <c r="A68" s="11" t="s">
        <v>71</v>
      </c>
      <c r="B68" s="3">
        <v>155</v>
      </c>
      <c r="C68" s="4">
        <v>43155</v>
      </c>
      <c r="D68" s="3" t="str">
        <f>"0000059"</f>
        <v>0000059</v>
      </c>
      <c r="E68" s="4">
        <v>42810</v>
      </c>
      <c r="F68" s="4">
        <v>43155</v>
      </c>
      <c r="G68" s="4">
        <v>43129</v>
      </c>
      <c r="H68" s="3" t="s">
        <v>14</v>
      </c>
      <c r="I68" s="3">
        <v>104</v>
      </c>
      <c r="J68" s="3">
        <v>0</v>
      </c>
      <c r="K68" s="3">
        <v>104</v>
      </c>
      <c r="L68" s="3">
        <f t="shared" si="2"/>
        <v>26</v>
      </c>
      <c r="M68" s="12">
        <f t="shared" si="3"/>
        <v>2704</v>
      </c>
      <c r="N68" s="1" t="s">
        <v>72</v>
      </c>
    </row>
    <row r="69" spans="1:14" s="1" customFormat="1" x14ac:dyDescent="0.25">
      <c r="A69" s="11" t="s">
        <v>20</v>
      </c>
      <c r="B69" s="3">
        <v>147</v>
      </c>
      <c r="C69" s="4">
        <v>43155</v>
      </c>
      <c r="D69" s="3" t="str">
        <f>"17172"</f>
        <v>17172</v>
      </c>
      <c r="E69" s="4">
        <v>43100</v>
      </c>
      <c r="F69" s="4">
        <v>43155</v>
      </c>
      <c r="G69" s="4">
        <v>43130</v>
      </c>
      <c r="H69" s="3" t="s">
        <v>14</v>
      </c>
      <c r="I69" s="5">
        <v>3865.48</v>
      </c>
      <c r="J69" s="3">
        <v>697.05</v>
      </c>
      <c r="K69" s="5">
        <v>3168.43</v>
      </c>
      <c r="L69" s="3">
        <f t="shared" si="2"/>
        <v>25</v>
      </c>
      <c r="M69" s="12">
        <f t="shared" si="3"/>
        <v>79210.75</v>
      </c>
      <c r="N69" s="1" t="s">
        <v>21</v>
      </c>
    </row>
    <row r="70" spans="1:14" s="1" customFormat="1" x14ac:dyDescent="0.25">
      <c r="A70" s="11" t="s">
        <v>73</v>
      </c>
      <c r="B70" s="3">
        <v>149</v>
      </c>
      <c r="C70" s="4">
        <v>43155</v>
      </c>
      <c r="D70" s="3" t="s">
        <v>74</v>
      </c>
      <c r="E70" s="4">
        <v>43098</v>
      </c>
      <c r="F70" s="4">
        <v>43155</v>
      </c>
      <c r="G70" s="4">
        <v>43131</v>
      </c>
      <c r="H70" s="3" t="s">
        <v>14</v>
      </c>
      <c r="I70" s="5">
        <v>1392.02</v>
      </c>
      <c r="J70" s="3">
        <v>251.02</v>
      </c>
      <c r="K70" s="5">
        <v>1141</v>
      </c>
      <c r="L70" s="3">
        <f t="shared" si="2"/>
        <v>24</v>
      </c>
      <c r="M70" s="12">
        <f t="shared" si="3"/>
        <v>27384</v>
      </c>
      <c r="N70" s="1" t="s">
        <v>75</v>
      </c>
    </row>
    <row r="71" spans="1:14" s="1" customFormat="1" ht="30" x14ac:dyDescent="0.25">
      <c r="A71" s="11" t="s">
        <v>76</v>
      </c>
      <c r="B71" s="3">
        <v>130</v>
      </c>
      <c r="C71" s="4">
        <v>43155</v>
      </c>
      <c r="D71" s="3" t="s">
        <v>77</v>
      </c>
      <c r="E71" s="4">
        <v>43096</v>
      </c>
      <c r="F71" s="4">
        <v>43155</v>
      </c>
      <c r="G71" s="4">
        <v>43131</v>
      </c>
      <c r="H71" s="3" t="s">
        <v>14</v>
      </c>
      <c r="I71" s="3">
        <v>280</v>
      </c>
      <c r="J71" s="3">
        <v>0</v>
      </c>
      <c r="K71" s="3">
        <v>280</v>
      </c>
      <c r="L71" s="3">
        <f t="shared" si="2"/>
        <v>24</v>
      </c>
      <c r="M71" s="12">
        <f t="shared" si="3"/>
        <v>6720</v>
      </c>
      <c r="N71" s="1" t="s">
        <v>78</v>
      </c>
    </row>
    <row r="72" spans="1:14" s="1" customFormat="1" x14ac:dyDescent="0.25">
      <c r="A72" s="11" t="s">
        <v>79</v>
      </c>
      <c r="B72" s="3">
        <v>255</v>
      </c>
      <c r="C72" s="4">
        <v>43162</v>
      </c>
      <c r="D72" s="3" t="s">
        <v>80</v>
      </c>
      <c r="E72" s="4">
        <v>43108</v>
      </c>
      <c r="F72" s="4">
        <v>43162</v>
      </c>
      <c r="G72" s="4">
        <v>43139</v>
      </c>
      <c r="H72" s="3" t="s">
        <v>61</v>
      </c>
      <c r="I72" s="3">
        <v>755.42</v>
      </c>
      <c r="J72" s="3">
        <v>27.48</v>
      </c>
      <c r="K72" s="3">
        <v>727.94</v>
      </c>
      <c r="L72" s="3">
        <f t="shared" si="2"/>
        <v>23</v>
      </c>
      <c r="M72" s="12">
        <f t="shared" si="3"/>
        <v>16742.620000000003</v>
      </c>
      <c r="N72" s="1" t="s">
        <v>81</v>
      </c>
    </row>
    <row r="73" spans="1:14" s="1" customFormat="1" x14ac:dyDescent="0.25">
      <c r="A73" s="11" t="s">
        <v>79</v>
      </c>
      <c r="B73" s="3">
        <v>255</v>
      </c>
      <c r="C73" s="4">
        <v>43162</v>
      </c>
      <c r="D73" s="3" t="s">
        <v>82</v>
      </c>
      <c r="E73" s="4">
        <v>43108</v>
      </c>
      <c r="F73" s="4">
        <v>43162</v>
      </c>
      <c r="G73" s="4">
        <v>43139</v>
      </c>
      <c r="H73" s="3" t="s">
        <v>61</v>
      </c>
      <c r="I73" s="3">
        <v>753.98</v>
      </c>
      <c r="J73" s="3">
        <v>27.42</v>
      </c>
      <c r="K73" s="3">
        <v>726.56</v>
      </c>
      <c r="L73" s="3">
        <f t="shared" si="2"/>
        <v>23</v>
      </c>
      <c r="M73" s="12">
        <f t="shared" si="3"/>
        <v>16710.879999999997</v>
      </c>
      <c r="N73" s="1" t="s">
        <v>81</v>
      </c>
    </row>
    <row r="74" spans="1:14" s="1" customFormat="1" x14ac:dyDescent="0.25">
      <c r="A74" s="11" t="s">
        <v>79</v>
      </c>
      <c r="B74" s="3">
        <v>255</v>
      </c>
      <c r="C74" s="4">
        <v>43162</v>
      </c>
      <c r="D74" s="3" t="s">
        <v>83</v>
      </c>
      <c r="E74" s="4">
        <v>43108</v>
      </c>
      <c r="F74" s="4">
        <v>43162</v>
      </c>
      <c r="G74" s="4">
        <v>43139</v>
      </c>
      <c r="H74" s="3" t="s">
        <v>61</v>
      </c>
      <c r="I74" s="3">
        <v>866.8</v>
      </c>
      <c r="J74" s="3">
        <v>31.53</v>
      </c>
      <c r="K74" s="3">
        <v>835.27</v>
      </c>
      <c r="L74" s="3">
        <f t="shared" si="2"/>
        <v>23</v>
      </c>
      <c r="M74" s="12">
        <f t="shared" si="3"/>
        <v>19211.21</v>
      </c>
      <c r="N74" s="1" t="s">
        <v>81</v>
      </c>
    </row>
    <row r="75" spans="1:14" s="1" customFormat="1" x14ac:dyDescent="0.25">
      <c r="A75" s="11" t="s">
        <v>84</v>
      </c>
      <c r="B75" s="3">
        <v>256</v>
      </c>
      <c r="C75" s="4">
        <v>43162</v>
      </c>
      <c r="D75" s="3" t="s">
        <v>85</v>
      </c>
      <c r="E75" s="4">
        <v>43111</v>
      </c>
      <c r="F75" s="4">
        <v>43162</v>
      </c>
      <c r="G75" s="4">
        <v>43141</v>
      </c>
      <c r="H75" s="3" t="s">
        <v>14</v>
      </c>
      <c r="I75" s="5">
        <v>3782</v>
      </c>
      <c r="J75" s="3">
        <v>682</v>
      </c>
      <c r="K75" s="5">
        <v>3100</v>
      </c>
      <c r="L75" s="3">
        <f t="shared" si="2"/>
        <v>21</v>
      </c>
      <c r="M75" s="12">
        <f t="shared" si="3"/>
        <v>65100</v>
      </c>
      <c r="N75" s="1" t="s">
        <v>86</v>
      </c>
    </row>
    <row r="76" spans="1:14" s="1" customFormat="1" x14ac:dyDescent="0.25">
      <c r="A76" s="11" t="s">
        <v>30</v>
      </c>
      <c r="B76" s="3">
        <v>133</v>
      </c>
      <c r="C76" s="4">
        <v>43155</v>
      </c>
      <c r="D76" s="3" t="s">
        <v>87</v>
      </c>
      <c r="E76" s="4">
        <v>43100</v>
      </c>
      <c r="F76" s="4">
        <v>43155</v>
      </c>
      <c r="G76" s="4">
        <v>43135</v>
      </c>
      <c r="H76" s="3" t="s">
        <v>14</v>
      </c>
      <c r="I76" s="3">
        <v>603.25</v>
      </c>
      <c r="J76" s="3">
        <v>0</v>
      </c>
      <c r="K76" s="3">
        <v>603.25</v>
      </c>
      <c r="L76" s="3">
        <f t="shared" si="2"/>
        <v>20</v>
      </c>
      <c r="M76" s="12">
        <f t="shared" si="3"/>
        <v>12065</v>
      </c>
      <c r="N76" s="1" t="s">
        <v>88</v>
      </c>
    </row>
    <row r="77" spans="1:14" s="1" customFormat="1" x14ac:dyDescent="0.25">
      <c r="A77" s="11" t="s">
        <v>18</v>
      </c>
      <c r="B77" s="3">
        <v>297</v>
      </c>
      <c r="C77" s="4">
        <v>43169</v>
      </c>
      <c r="D77" s="3" t="str">
        <f>"41800072192"</f>
        <v>41800072192</v>
      </c>
      <c r="E77" s="4">
        <v>43119</v>
      </c>
      <c r="F77" s="4">
        <v>43169</v>
      </c>
      <c r="G77" s="4">
        <v>43152</v>
      </c>
      <c r="H77" s="3" t="s">
        <v>14</v>
      </c>
      <c r="I77" s="3">
        <v>149.78</v>
      </c>
      <c r="J77" s="3">
        <v>27.01</v>
      </c>
      <c r="K77" s="3">
        <v>122.77</v>
      </c>
      <c r="L77" s="3">
        <f t="shared" si="2"/>
        <v>17</v>
      </c>
      <c r="M77" s="12">
        <f t="shared" si="3"/>
        <v>2087.09</v>
      </c>
      <c r="N77" s="1" t="s">
        <v>19</v>
      </c>
    </row>
    <row r="78" spans="1:14" s="1" customFormat="1" x14ac:dyDescent="0.25">
      <c r="A78" s="11" t="s">
        <v>89</v>
      </c>
      <c r="B78" s="3">
        <v>245</v>
      </c>
      <c r="C78" s="4">
        <v>43162</v>
      </c>
      <c r="D78" s="3" t="str">
        <f>"00022"</f>
        <v>00022</v>
      </c>
      <c r="E78" s="4">
        <v>43116</v>
      </c>
      <c r="F78" s="4">
        <v>43162</v>
      </c>
      <c r="G78" s="4">
        <v>43147</v>
      </c>
      <c r="H78" s="3" t="s">
        <v>14</v>
      </c>
      <c r="I78" s="3">
        <v>658.8</v>
      </c>
      <c r="J78" s="3">
        <v>118.8</v>
      </c>
      <c r="K78" s="3">
        <v>540</v>
      </c>
      <c r="L78" s="3">
        <f t="shared" si="2"/>
        <v>15</v>
      </c>
      <c r="M78" s="12">
        <f t="shared" si="3"/>
        <v>8100</v>
      </c>
      <c r="N78" s="1" t="s">
        <v>90</v>
      </c>
    </row>
    <row r="79" spans="1:14" s="1" customFormat="1" x14ac:dyDescent="0.25">
      <c r="A79" s="11" t="s">
        <v>91</v>
      </c>
      <c r="B79" s="3">
        <v>352</v>
      </c>
      <c r="C79" s="4">
        <v>43176</v>
      </c>
      <c r="D79" s="3" t="s">
        <v>92</v>
      </c>
      <c r="E79" s="4">
        <v>43132</v>
      </c>
      <c r="F79" s="4">
        <v>43176</v>
      </c>
      <c r="G79" s="4">
        <v>43162</v>
      </c>
      <c r="H79" s="3" t="s">
        <v>14</v>
      </c>
      <c r="I79" s="5">
        <v>1268.8</v>
      </c>
      <c r="J79" s="3">
        <v>228.8</v>
      </c>
      <c r="K79" s="5">
        <v>1040</v>
      </c>
      <c r="L79" s="3">
        <f t="shared" si="2"/>
        <v>14</v>
      </c>
      <c r="M79" s="12">
        <f t="shared" si="3"/>
        <v>14560</v>
      </c>
      <c r="N79" s="1" t="s">
        <v>93</v>
      </c>
    </row>
    <row r="80" spans="1:14" s="1" customFormat="1" x14ac:dyDescent="0.25">
      <c r="A80" s="11" t="s">
        <v>94</v>
      </c>
      <c r="B80" s="3">
        <v>309</v>
      </c>
      <c r="C80" s="4">
        <v>43169</v>
      </c>
      <c r="D80" s="3" t="str">
        <f>"1"</f>
        <v>1</v>
      </c>
      <c r="E80" s="4">
        <v>43080</v>
      </c>
      <c r="F80" s="4">
        <v>43169</v>
      </c>
      <c r="G80" s="4">
        <v>43155</v>
      </c>
      <c r="H80" s="3" t="s">
        <v>61</v>
      </c>
      <c r="I80" s="3">
        <v>427</v>
      </c>
      <c r="J80" s="3">
        <v>0</v>
      </c>
      <c r="K80" s="3">
        <v>427</v>
      </c>
      <c r="L80" s="3">
        <f t="shared" si="2"/>
        <v>14</v>
      </c>
      <c r="M80" s="12">
        <f t="shared" si="3"/>
        <v>5978</v>
      </c>
      <c r="N80" s="1" t="s">
        <v>62</v>
      </c>
    </row>
    <row r="81" spans="1:14" s="1" customFormat="1" x14ac:dyDescent="0.25">
      <c r="A81" s="11" t="s">
        <v>95</v>
      </c>
      <c r="B81" s="3">
        <v>249</v>
      </c>
      <c r="C81" s="4">
        <v>43162</v>
      </c>
      <c r="D81" s="3" t="s">
        <v>96</v>
      </c>
      <c r="E81" s="4">
        <v>43098</v>
      </c>
      <c r="F81" s="4">
        <v>43162</v>
      </c>
      <c r="G81" s="4">
        <v>43148</v>
      </c>
      <c r="H81" s="3" t="s">
        <v>14</v>
      </c>
      <c r="I81" s="5">
        <v>4270</v>
      </c>
      <c r="J81" s="3">
        <v>770</v>
      </c>
      <c r="K81" s="5">
        <v>3500</v>
      </c>
      <c r="L81" s="3">
        <f t="shared" si="2"/>
        <v>14</v>
      </c>
      <c r="M81" s="12">
        <f t="shared" si="3"/>
        <v>49000</v>
      </c>
      <c r="N81" s="1" t="s">
        <v>97</v>
      </c>
    </row>
    <row r="82" spans="1:14" s="1" customFormat="1" x14ac:dyDescent="0.25">
      <c r="A82" s="11" t="s">
        <v>98</v>
      </c>
      <c r="B82" s="3">
        <v>141</v>
      </c>
      <c r="C82" s="4">
        <v>43155</v>
      </c>
      <c r="D82" s="6">
        <v>20179449</v>
      </c>
      <c r="E82" s="4">
        <v>43097</v>
      </c>
      <c r="F82" s="4">
        <v>43155</v>
      </c>
      <c r="G82" s="4">
        <v>43142</v>
      </c>
      <c r="H82" s="3" t="s">
        <v>61</v>
      </c>
      <c r="I82" s="5">
        <v>1229.76</v>
      </c>
      <c r="J82" s="3">
        <v>221.76</v>
      </c>
      <c r="K82" s="5">
        <v>1008</v>
      </c>
      <c r="L82" s="3">
        <f t="shared" si="2"/>
        <v>13</v>
      </c>
      <c r="M82" s="12">
        <f t="shared" si="3"/>
        <v>13104</v>
      </c>
      <c r="N82" s="1" t="s">
        <v>19</v>
      </c>
    </row>
    <row r="83" spans="1:14" s="1" customFormat="1" x14ac:dyDescent="0.25">
      <c r="A83" s="11" t="s">
        <v>99</v>
      </c>
      <c r="B83" s="3">
        <v>261</v>
      </c>
      <c r="C83" s="4">
        <v>43162</v>
      </c>
      <c r="D83" s="3" t="s">
        <v>100</v>
      </c>
      <c r="E83" s="4">
        <v>43119</v>
      </c>
      <c r="F83" s="4">
        <v>43162</v>
      </c>
      <c r="G83" s="4">
        <v>43149</v>
      </c>
      <c r="H83" s="3" t="s">
        <v>61</v>
      </c>
      <c r="I83" s="3">
        <v>605</v>
      </c>
      <c r="J83" s="3">
        <v>55</v>
      </c>
      <c r="K83" s="3">
        <v>550</v>
      </c>
      <c r="L83" s="3">
        <f t="shared" si="2"/>
        <v>13</v>
      </c>
      <c r="M83" s="12">
        <f t="shared" si="3"/>
        <v>7150</v>
      </c>
      <c r="N83" s="1" t="s">
        <v>101</v>
      </c>
    </row>
    <row r="84" spans="1:14" s="1" customFormat="1" x14ac:dyDescent="0.25">
      <c r="A84" s="11" t="s">
        <v>102</v>
      </c>
      <c r="B84" s="3">
        <v>333</v>
      </c>
      <c r="C84" s="4">
        <v>43176</v>
      </c>
      <c r="D84" s="3" t="s">
        <v>103</v>
      </c>
      <c r="E84" s="4">
        <v>43131</v>
      </c>
      <c r="F84" s="4">
        <v>43176</v>
      </c>
      <c r="G84" s="4">
        <v>43166</v>
      </c>
      <c r="H84" s="3" t="s">
        <v>61</v>
      </c>
      <c r="I84" s="3">
        <v>440.42</v>
      </c>
      <c r="J84" s="3">
        <v>79.42</v>
      </c>
      <c r="K84" s="3">
        <v>361</v>
      </c>
      <c r="L84" s="3">
        <f t="shared" si="2"/>
        <v>10</v>
      </c>
      <c r="M84" s="12">
        <f t="shared" si="3"/>
        <v>3610</v>
      </c>
      <c r="N84" s="1" t="s">
        <v>19</v>
      </c>
    </row>
    <row r="85" spans="1:14" s="1" customFormat="1" x14ac:dyDescent="0.25">
      <c r="A85" s="11" t="s">
        <v>104</v>
      </c>
      <c r="B85" s="3">
        <v>319</v>
      </c>
      <c r="C85" s="4">
        <v>43169</v>
      </c>
      <c r="D85" s="3" t="s">
        <v>105</v>
      </c>
      <c r="E85" s="4">
        <v>43099</v>
      </c>
      <c r="F85" s="4">
        <v>43169</v>
      </c>
      <c r="G85" s="4">
        <v>43159</v>
      </c>
      <c r="H85" s="3" t="s">
        <v>14</v>
      </c>
      <c r="I85" s="5">
        <v>4392.2</v>
      </c>
      <c r="J85" s="3">
        <v>399.29</v>
      </c>
      <c r="K85" s="5">
        <v>3992.91</v>
      </c>
      <c r="L85" s="3">
        <f t="shared" si="2"/>
        <v>10</v>
      </c>
      <c r="M85" s="12">
        <f t="shared" si="3"/>
        <v>39929.1</v>
      </c>
      <c r="N85" s="1" t="s">
        <v>106</v>
      </c>
    </row>
    <row r="86" spans="1:14" s="1" customFormat="1" x14ac:dyDescent="0.25">
      <c r="A86" s="11" t="s">
        <v>107</v>
      </c>
      <c r="B86" s="3">
        <v>139</v>
      </c>
      <c r="C86" s="4">
        <v>43155</v>
      </c>
      <c r="D86" s="3" t="str">
        <f>"2017901822"</f>
        <v>2017901822</v>
      </c>
      <c r="E86" s="4">
        <v>43100</v>
      </c>
      <c r="F86" s="4">
        <v>43155</v>
      </c>
      <c r="G86" s="4">
        <v>43145</v>
      </c>
      <c r="H86" s="3" t="s">
        <v>61</v>
      </c>
      <c r="I86" s="3">
        <v>463.6</v>
      </c>
      <c r="J86" s="3">
        <v>83.6</v>
      </c>
      <c r="K86" s="3">
        <v>380</v>
      </c>
      <c r="L86" s="3">
        <f t="shared" si="2"/>
        <v>10</v>
      </c>
      <c r="M86" s="12">
        <f t="shared" si="3"/>
        <v>3800</v>
      </c>
      <c r="N86" s="1" t="s">
        <v>108</v>
      </c>
    </row>
    <row r="87" spans="1:14" s="1" customFormat="1" x14ac:dyDescent="0.25">
      <c r="A87" s="11" t="s">
        <v>109</v>
      </c>
      <c r="B87" s="3">
        <v>244</v>
      </c>
      <c r="C87" s="4">
        <v>43162</v>
      </c>
      <c r="D87" s="3" t="str">
        <f>"37"</f>
        <v>37</v>
      </c>
      <c r="E87" s="4">
        <v>43100</v>
      </c>
      <c r="F87" s="4">
        <v>43162</v>
      </c>
      <c r="G87" s="4">
        <v>43152</v>
      </c>
      <c r="H87" s="3" t="s">
        <v>14</v>
      </c>
      <c r="I87" s="3">
        <v>305</v>
      </c>
      <c r="J87" s="3">
        <v>55</v>
      </c>
      <c r="K87" s="3">
        <v>250</v>
      </c>
      <c r="L87" s="3">
        <f t="shared" si="2"/>
        <v>10</v>
      </c>
      <c r="M87" s="12">
        <f t="shared" si="3"/>
        <v>2500</v>
      </c>
      <c r="N87" s="1" t="s">
        <v>110</v>
      </c>
    </row>
    <row r="88" spans="1:14" s="1" customFormat="1" x14ac:dyDescent="0.25">
      <c r="A88" s="11" t="s">
        <v>89</v>
      </c>
      <c r="B88" s="3">
        <v>137</v>
      </c>
      <c r="C88" s="4">
        <v>43155</v>
      </c>
      <c r="D88" s="3" t="str">
        <f>"00002"</f>
        <v>00002</v>
      </c>
      <c r="E88" s="4">
        <v>43116</v>
      </c>
      <c r="F88" s="4">
        <v>43155</v>
      </c>
      <c r="G88" s="4">
        <v>43147</v>
      </c>
      <c r="H88" s="3" t="s">
        <v>14</v>
      </c>
      <c r="I88" s="3">
        <v>936</v>
      </c>
      <c r="J88" s="3">
        <v>36</v>
      </c>
      <c r="K88" s="3">
        <v>900</v>
      </c>
      <c r="L88" s="3">
        <f t="shared" si="2"/>
        <v>8</v>
      </c>
      <c r="M88" s="12">
        <f t="shared" si="3"/>
        <v>7200</v>
      </c>
      <c r="N88" s="1" t="s">
        <v>90</v>
      </c>
    </row>
    <row r="89" spans="1:14" s="1" customFormat="1" x14ac:dyDescent="0.25">
      <c r="A89" s="11" t="s">
        <v>36</v>
      </c>
      <c r="B89" s="3">
        <v>295</v>
      </c>
      <c r="C89" s="4">
        <v>43169</v>
      </c>
      <c r="D89" s="3" t="s">
        <v>111</v>
      </c>
      <c r="E89" s="4">
        <v>43132</v>
      </c>
      <c r="F89" s="4">
        <v>43169</v>
      </c>
      <c r="G89" s="4">
        <v>43162</v>
      </c>
      <c r="H89" s="3" t="s">
        <v>14</v>
      </c>
      <c r="I89" s="3">
        <v>409.43</v>
      </c>
      <c r="J89" s="3">
        <v>73.83</v>
      </c>
      <c r="K89" s="3">
        <v>335.6</v>
      </c>
      <c r="L89" s="3">
        <f t="shared" si="2"/>
        <v>7</v>
      </c>
      <c r="M89" s="12">
        <f t="shared" si="3"/>
        <v>2349.2000000000003</v>
      </c>
      <c r="N89" s="1" t="s">
        <v>86</v>
      </c>
    </row>
    <row r="90" spans="1:14" s="1" customFormat="1" x14ac:dyDescent="0.25">
      <c r="A90" s="11" t="s">
        <v>36</v>
      </c>
      <c r="B90" s="3">
        <v>293</v>
      </c>
      <c r="C90" s="4">
        <v>43169</v>
      </c>
      <c r="D90" s="3" t="s">
        <v>112</v>
      </c>
      <c r="E90" s="4">
        <v>43132</v>
      </c>
      <c r="F90" s="4">
        <v>43169</v>
      </c>
      <c r="G90" s="4">
        <v>43162</v>
      </c>
      <c r="H90" s="3" t="s">
        <v>14</v>
      </c>
      <c r="I90" s="3">
        <v>362.9</v>
      </c>
      <c r="J90" s="3">
        <v>65.44</v>
      </c>
      <c r="K90" s="3">
        <v>297.45999999999998</v>
      </c>
      <c r="L90" s="3">
        <f t="shared" si="2"/>
        <v>7</v>
      </c>
      <c r="M90" s="12">
        <f t="shared" si="3"/>
        <v>2082.2199999999998</v>
      </c>
      <c r="N90" s="1" t="s">
        <v>86</v>
      </c>
    </row>
    <row r="91" spans="1:14" s="1" customFormat="1" x14ac:dyDescent="0.25">
      <c r="A91" s="11" t="s">
        <v>36</v>
      </c>
      <c r="B91" s="3">
        <v>288</v>
      </c>
      <c r="C91" s="4">
        <v>43169</v>
      </c>
      <c r="D91" s="3" t="s">
        <v>113</v>
      </c>
      <c r="E91" s="4">
        <v>43132</v>
      </c>
      <c r="F91" s="4">
        <v>43169</v>
      </c>
      <c r="G91" s="4">
        <v>43162</v>
      </c>
      <c r="H91" s="3" t="s">
        <v>14</v>
      </c>
      <c r="I91" s="3">
        <v>308.60000000000002</v>
      </c>
      <c r="J91" s="3">
        <v>55.65</v>
      </c>
      <c r="K91" s="3">
        <v>252.95</v>
      </c>
      <c r="L91" s="3">
        <f t="shared" si="2"/>
        <v>7</v>
      </c>
      <c r="M91" s="12">
        <f t="shared" si="3"/>
        <v>1770.6499999999999</v>
      </c>
      <c r="N91" s="1" t="s">
        <v>86</v>
      </c>
    </row>
    <row r="92" spans="1:14" s="1" customFormat="1" x14ac:dyDescent="0.25">
      <c r="A92" s="11" t="s">
        <v>36</v>
      </c>
      <c r="B92" s="3">
        <v>291</v>
      </c>
      <c r="C92" s="4">
        <v>43169</v>
      </c>
      <c r="D92" s="3" t="s">
        <v>114</v>
      </c>
      <c r="E92" s="4">
        <v>43132</v>
      </c>
      <c r="F92" s="4">
        <v>43169</v>
      </c>
      <c r="G92" s="4">
        <v>43162</v>
      </c>
      <c r="H92" s="3" t="s">
        <v>14</v>
      </c>
      <c r="I92" s="3">
        <v>648.26</v>
      </c>
      <c r="J92" s="3">
        <v>116.9</v>
      </c>
      <c r="K92" s="3">
        <v>531.36</v>
      </c>
      <c r="L92" s="3">
        <f t="shared" si="2"/>
        <v>7</v>
      </c>
      <c r="M92" s="12">
        <f t="shared" si="3"/>
        <v>3719.52</v>
      </c>
      <c r="N92" s="1" t="s">
        <v>86</v>
      </c>
    </row>
    <row r="93" spans="1:14" s="1" customFormat="1" x14ac:dyDescent="0.25">
      <c r="A93" s="11" t="s">
        <v>36</v>
      </c>
      <c r="B93" s="3">
        <v>289</v>
      </c>
      <c r="C93" s="4">
        <v>43169</v>
      </c>
      <c r="D93" s="3" t="s">
        <v>115</v>
      </c>
      <c r="E93" s="4">
        <v>43132</v>
      </c>
      <c r="F93" s="4">
        <v>43169</v>
      </c>
      <c r="G93" s="4">
        <v>43162</v>
      </c>
      <c r="H93" s="3" t="s">
        <v>14</v>
      </c>
      <c r="I93" s="3">
        <v>868.59</v>
      </c>
      <c r="J93" s="3">
        <v>156.63</v>
      </c>
      <c r="K93" s="3">
        <v>711.96</v>
      </c>
      <c r="L93" s="3">
        <f t="shared" si="2"/>
        <v>7</v>
      </c>
      <c r="M93" s="12">
        <f t="shared" si="3"/>
        <v>4983.72</v>
      </c>
      <c r="N93" s="1" t="s">
        <v>86</v>
      </c>
    </row>
    <row r="94" spans="1:14" s="1" customFormat="1" x14ac:dyDescent="0.25">
      <c r="A94" s="11" t="s">
        <v>36</v>
      </c>
      <c r="B94" s="3">
        <v>292</v>
      </c>
      <c r="C94" s="4">
        <v>43169</v>
      </c>
      <c r="D94" s="3" t="s">
        <v>116</v>
      </c>
      <c r="E94" s="4">
        <v>43132</v>
      </c>
      <c r="F94" s="4">
        <v>43169</v>
      </c>
      <c r="G94" s="4">
        <v>43162</v>
      </c>
      <c r="H94" s="3" t="s">
        <v>14</v>
      </c>
      <c r="I94" s="5">
        <v>1121.8499999999999</v>
      </c>
      <c r="J94" s="3">
        <v>202.3</v>
      </c>
      <c r="K94" s="3">
        <v>919.55</v>
      </c>
      <c r="L94" s="3">
        <f>+F94-G94</f>
        <v>7</v>
      </c>
      <c r="M94" s="12">
        <f t="shared" si="3"/>
        <v>6436.8499999999995</v>
      </c>
      <c r="N94" s="1" t="s">
        <v>86</v>
      </c>
    </row>
    <row r="95" spans="1:14" s="1" customFormat="1" x14ac:dyDescent="0.25">
      <c r="A95" s="11" t="s">
        <v>36</v>
      </c>
      <c r="B95" s="3">
        <v>296</v>
      </c>
      <c r="C95" s="4">
        <v>43169</v>
      </c>
      <c r="D95" s="3" t="s">
        <v>117</v>
      </c>
      <c r="E95" s="4">
        <v>43132</v>
      </c>
      <c r="F95" s="4">
        <v>43169</v>
      </c>
      <c r="G95" s="4">
        <v>43162</v>
      </c>
      <c r="H95" s="3" t="s">
        <v>14</v>
      </c>
      <c r="I95" s="3">
        <v>509.74</v>
      </c>
      <c r="J95" s="3">
        <v>91.92</v>
      </c>
      <c r="K95" s="3">
        <v>417.82</v>
      </c>
      <c r="L95" s="3">
        <f t="shared" ref="L95:L118" si="4">+F95-G95</f>
        <v>7</v>
      </c>
      <c r="M95" s="12">
        <f t="shared" si="3"/>
        <v>2924.74</v>
      </c>
      <c r="N95" s="1" t="s">
        <v>86</v>
      </c>
    </row>
    <row r="96" spans="1:14" s="1" customFormat="1" x14ac:dyDescent="0.25">
      <c r="A96" s="11" t="s">
        <v>36</v>
      </c>
      <c r="B96" s="3">
        <v>294</v>
      </c>
      <c r="C96" s="4">
        <v>43169</v>
      </c>
      <c r="D96" s="3" t="s">
        <v>118</v>
      </c>
      <c r="E96" s="4">
        <v>43132</v>
      </c>
      <c r="F96" s="4">
        <v>43169</v>
      </c>
      <c r="G96" s="4">
        <v>43162</v>
      </c>
      <c r="H96" s="3" t="s">
        <v>14</v>
      </c>
      <c r="I96" s="3">
        <v>460.11</v>
      </c>
      <c r="J96" s="3">
        <v>82.97</v>
      </c>
      <c r="K96" s="3">
        <v>377.14</v>
      </c>
      <c r="L96" s="3">
        <f t="shared" si="4"/>
        <v>7</v>
      </c>
      <c r="M96" s="12">
        <f t="shared" si="3"/>
        <v>2639.98</v>
      </c>
      <c r="N96" s="1" t="s">
        <v>86</v>
      </c>
    </row>
    <row r="97" spans="1:14" s="1" customFormat="1" x14ac:dyDescent="0.25">
      <c r="A97" s="11" t="s">
        <v>36</v>
      </c>
      <c r="B97" s="3">
        <v>290</v>
      </c>
      <c r="C97" s="4">
        <v>43169</v>
      </c>
      <c r="D97" s="3" t="s">
        <v>119</v>
      </c>
      <c r="E97" s="4">
        <v>43132</v>
      </c>
      <c r="F97" s="4">
        <v>43169</v>
      </c>
      <c r="G97" s="4">
        <v>43162</v>
      </c>
      <c r="H97" s="3" t="s">
        <v>14</v>
      </c>
      <c r="I97" s="5">
        <v>4827.8100000000004</v>
      </c>
      <c r="J97" s="3">
        <v>870.59</v>
      </c>
      <c r="K97" s="5">
        <v>3957.22</v>
      </c>
      <c r="L97" s="3">
        <f t="shared" si="4"/>
        <v>7</v>
      </c>
      <c r="M97" s="12">
        <f t="shared" si="3"/>
        <v>27700.539999999997</v>
      </c>
      <c r="N97" s="1" t="s">
        <v>86</v>
      </c>
    </row>
    <row r="98" spans="1:14" s="1" customFormat="1" x14ac:dyDescent="0.25">
      <c r="A98" s="11" t="s">
        <v>120</v>
      </c>
      <c r="B98" s="3">
        <v>142</v>
      </c>
      <c r="C98" s="4">
        <v>43155</v>
      </c>
      <c r="D98" s="3" t="s">
        <v>121</v>
      </c>
      <c r="E98" s="4">
        <v>43111</v>
      </c>
      <c r="F98" s="4">
        <v>43155</v>
      </c>
      <c r="G98" s="4">
        <v>43148</v>
      </c>
      <c r="H98" s="3" t="s">
        <v>61</v>
      </c>
      <c r="I98" s="5">
        <v>1647</v>
      </c>
      <c r="J98" s="3">
        <v>297</v>
      </c>
      <c r="K98" s="5">
        <v>1350</v>
      </c>
      <c r="L98" s="3">
        <f t="shared" si="4"/>
        <v>7</v>
      </c>
      <c r="M98" s="12">
        <f t="shared" si="3"/>
        <v>9450</v>
      </c>
      <c r="N98" s="1" t="s">
        <v>75</v>
      </c>
    </row>
    <row r="99" spans="1:14" s="1" customFormat="1" x14ac:dyDescent="0.25">
      <c r="A99" s="11" t="s">
        <v>122</v>
      </c>
      <c r="B99" s="3">
        <v>299</v>
      </c>
      <c r="C99" s="4">
        <v>43169</v>
      </c>
      <c r="D99" s="3" t="s">
        <v>123</v>
      </c>
      <c r="E99" s="4">
        <v>43132</v>
      </c>
      <c r="F99" s="4">
        <v>43169</v>
      </c>
      <c r="G99" s="4">
        <v>43163</v>
      </c>
      <c r="H99" s="3" t="s">
        <v>61</v>
      </c>
      <c r="I99" s="3">
        <v>915</v>
      </c>
      <c r="J99" s="3">
        <v>165</v>
      </c>
      <c r="K99" s="3">
        <v>750</v>
      </c>
      <c r="L99" s="3">
        <f t="shared" si="4"/>
        <v>6</v>
      </c>
      <c r="M99" s="12">
        <f t="shared" si="3"/>
        <v>4500</v>
      </c>
      <c r="N99" s="1" t="s">
        <v>52</v>
      </c>
    </row>
    <row r="100" spans="1:14" s="1" customFormat="1" x14ac:dyDescent="0.25">
      <c r="A100" s="11" t="s">
        <v>122</v>
      </c>
      <c r="B100" s="3">
        <v>276</v>
      </c>
      <c r="C100" s="4">
        <v>43169</v>
      </c>
      <c r="D100" s="3" t="s">
        <v>85</v>
      </c>
      <c r="E100" s="4">
        <v>43132</v>
      </c>
      <c r="F100" s="4">
        <v>43169</v>
      </c>
      <c r="G100" s="4">
        <v>43163</v>
      </c>
      <c r="H100" s="3" t="s">
        <v>61</v>
      </c>
      <c r="I100" s="5">
        <v>10980</v>
      </c>
      <c r="J100" s="5">
        <v>1980</v>
      </c>
      <c r="K100" s="5">
        <v>9000</v>
      </c>
      <c r="L100" s="3">
        <f t="shared" si="4"/>
        <v>6</v>
      </c>
      <c r="M100" s="12">
        <f t="shared" si="3"/>
        <v>54000</v>
      </c>
      <c r="N100" s="1" t="s">
        <v>52</v>
      </c>
    </row>
    <row r="101" spans="1:14" s="1" customFormat="1" x14ac:dyDescent="0.25">
      <c r="A101" s="11" t="s">
        <v>53</v>
      </c>
      <c r="B101" s="3">
        <v>265</v>
      </c>
      <c r="C101" s="4">
        <v>43162</v>
      </c>
      <c r="D101" s="3" t="str">
        <f>"0002150064"</f>
        <v>0002150064</v>
      </c>
      <c r="E101" s="4">
        <v>43100</v>
      </c>
      <c r="F101" s="4">
        <v>43162</v>
      </c>
      <c r="G101" s="4">
        <v>43159</v>
      </c>
      <c r="H101" s="3" t="s">
        <v>14</v>
      </c>
      <c r="I101" s="3">
        <v>322.08</v>
      </c>
      <c r="J101" s="3">
        <v>58.08</v>
      </c>
      <c r="K101" s="3">
        <v>264</v>
      </c>
      <c r="L101" s="3">
        <f t="shared" si="4"/>
        <v>3</v>
      </c>
      <c r="M101" s="12">
        <f t="shared" si="3"/>
        <v>792</v>
      </c>
      <c r="N101" s="1" t="s">
        <v>27</v>
      </c>
    </row>
    <row r="102" spans="1:14" s="1" customFormat="1" x14ac:dyDescent="0.25">
      <c r="A102" s="11" t="s">
        <v>73</v>
      </c>
      <c r="B102" s="3">
        <v>300</v>
      </c>
      <c r="C102" s="4">
        <v>43169</v>
      </c>
      <c r="D102" s="3" t="s">
        <v>124</v>
      </c>
      <c r="E102" s="4">
        <v>43131</v>
      </c>
      <c r="F102" s="4">
        <v>43169</v>
      </c>
      <c r="G102" s="4">
        <v>43166</v>
      </c>
      <c r="H102" s="3" t="s">
        <v>14</v>
      </c>
      <c r="I102" s="5">
        <v>1392.02</v>
      </c>
      <c r="J102" s="3">
        <v>251.02</v>
      </c>
      <c r="K102" s="5">
        <v>1141</v>
      </c>
      <c r="L102" s="3">
        <f t="shared" si="4"/>
        <v>3</v>
      </c>
      <c r="M102" s="12">
        <f t="shared" si="3"/>
        <v>3423</v>
      </c>
      <c r="N102" s="1" t="s">
        <v>75</v>
      </c>
    </row>
    <row r="103" spans="1:14" s="1" customFormat="1" x14ac:dyDescent="0.25">
      <c r="A103" s="11" t="s">
        <v>22</v>
      </c>
      <c r="B103" s="3">
        <v>258</v>
      </c>
      <c r="C103" s="4">
        <v>43162</v>
      </c>
      <c r="D103" s="3" t="s">
        <v>125</v>
      </c>
      <c r="E103" s="4">
        <v>43098</v>
      </c>
      <c r="F103" s="4">
        <v>43162</v>
      </c>
      <c r="G103" s="4">
        <v>43159</v>
      </c>
      <c r="H103" s="3" t="s">
        <v>14</v>
      </c>
      <c r="I103" s="5">
        <v>1260.1500000000001</v>
      </c>
      <c r="J103" s="3">
        <v>227.24</v>
      </c>
      <c r="K103" s="5">
        <v>1032.9100000000001</v>
      </c>
      <c r="L103" s="3">
        <f t="shared" si="4"/>
        <v>3</v>
      </c>
      <c r="M103" s="12">
        <f t="shared" si="3"/>
        <v>3098.7300000000005</v>
      </c>
      <c r="N103" s="1" t="s">
        <v>86</v>
      </c>
    </row>
    <row r="104" spans="1:14" s="1" customFormat="1" x14ac:dyDescent="0.25">
      <c r="A104" s="11" t="s">
        <v>89</v>
      </c>
      <c r="B104" s="3">
        <v>315</v>
      </c>
      <c r="C104" s="4">
        <v>43169</v>
      </c>
      <c r="D104" s="3" t="str">
        <f>"02057"</f>
        <v>02057</v>
      </c>
      <c r="E104" s="4">
        <v>43131</v>
      </c>
      <c r="F104" s="4">
        <v>43169</v>
      </c>
      <c r="G104" s="4">
        <v>43166</v>
      </c>
      <c r="H104" s="3" t="s">
        <v>14</v>
      </c>
      <c r="I104" s="3">
        <v>344.65</v>
      </c>
      <c r="J104" s="3">
        <v>62.15</v>
      </c>
      <c r="K104" s="3">
        <v>282.5</v>
      </c>
      <c r="L104" s="3">
        <f t="shared" si="4"/>
        <v>3</v>
      </c>
      <c r="M104" s="12">
        <f t="shared" si="3"/>
        <v>847.5</v>
      </c>
      <c r="N104" s="1" t="s">
        <v>90</v>
      </c>
    </row>
    <row r="105" spans="1:14" s="1" customFormat="1" x14ac:dyDescent="0.25">
      <c r="A105" s="11" t="s">
        <v>102</v>
      </c>
      <c r="B105" s="3">
        <v>312</v>
      </c>
      <c r="C105" s="4">
        <v>43169</v>
      </c>
      <c r="D105" s="3" t="s">
        <v>126</v>
      </c>
      <c r="E105" s="4">
        <v>43131</v>
      </c>
      <c r="F105" s="4">
        <v>43169</v>
      </c>
      <c r="G105" s="4">
        <v>43166</v>
      </c>
      <c r="H105" s="3" t="s">
        <v>61</v>
      </c>
      <c r="I105" s="3">
        <v>61</v>
      </c>
      <c r="J105" s="3">
        <v>11</v>
      </c>
      <c r="K105" s="3">
        <v>50</v>
      </c>
      <c r="L105" s="3">
        <f t="shared" si="4"/>
        <v>3</v>
      </c>
      <c r="M105" s="12">
        <f t="shared" si="3"/>
        <v>150</v>
      </c>
      <c r="N105" s="1" t="s">
        <v>19</v>
      </c>
    </row>
    <row r="106" spans="1:14" s="1" customFormat="1" x14ac:dyDescent="0.25">
      <c r="A106" s="11" t="s">
        <v>13</v>
      </c>
      <c r="B106" s="3">
        <v>268</v>
      </c>
      <c r="C106" s="4">
        <v>43162</v>
      </c>
      <c r="D106" s="3" t="str">
        <f>"0350120170800791900"</f>
        <v>0350120170800791900</v>
      </c>
      <c r="E106" s="4">
        <v>43097</v>
      </c>
      <c r="F106" s="4">
        <v>43162</v>
      </c>
      <c r="G106" s="4">
        <v>43159</v>
      </c>
      <c r="H106" s="3" t="s">
        <v>14</v>
      </c>
      <c r="I106" s="3">
        <v>232.45</v>
      </c>
      <c r="J106" s="3">
        <v>21.13</v>
      </c>
      <c r="K106" s="3">
        <v>211.32</v>
      </c>
      <c r="L106" s="3">
        <f t="shared" si="4"/>
        <v>3</v>
      </c>
      <c r="M106" s="12">
        <f t="shared" si="3"/>
        <v>633.96</v>
      </c>
      <c r="N106" s="1" t="s">
        <v>15</v>
      </c>
    </row>
    <row r="107" spans="1:14" s="1" customFormat="1" x14ac:dyDescent="0.25">
      <c r="A107" s="11" t="s">
        <v>13</v>
      </c>
      <c r="B107" s="3">
        <v>266</v>
      </c>
      <c r="C107" s="4">
        <v>43162</v>
      </c>
      <c r="D107" s="3" t="str">
        <f>"0350120170800792000"</f>
        <v>0350120170800792000</v>
      </c>
      <c r="E107" s="4">
        <v>43097</v>
      </c>
      <c r="F107" s="4">
        <v>43162</v>
      </c>
      <c r="G107" s="4">
        <v>43159</v>
      </c>
      <c r="H107" s="3" t="s">
        <v>14</v>
      </c>
      <c r="I107" s="3">
        <v>59.49</v>
      </c>
      <c r="J107" s="3">
        <v>0</v>
      </c>
      <c r="K107" s="3">
        <v>59.49</v>
      </c>
      <c r="L107" s="3">
        <f t="shared" si="4"/>
        <v>3</v>
      </c>
      <c r="M107" s="12">
        <f t="shared" si="3"/>
        <v>178.47</v>
      </c>
      <c r="N107" s="1" t="s">
        <v>15</v>
      </c>
    </row>
    <row r="108" spans="1:14" s="1" customFormat="1" x14ac:dyDescent="0.25">
      <c r="A108" s="11" t="s">
        <v>13</v>
      </c>
      <c r="B108" s="3">
        <v>267</v>
      </c>
      <c r="C108" s="4">
        <v>43162</v>
      </c>
      <c r="D108" s="3" t="str">
        <f>"0350120170800792100"</f>
        <v>0350120170800792100</v>
      </c>
      <c r="E108" s="4">
        <v>43097</v>
      </c>
      <c r="F108" s="4">
        <v>43162</v>
      </c>
      <c r="G108" s="4">
        <v>43159</v>
      </c>
      <c r="H108" s="3" t="s">
        <v>14</v>
      </c>
      <c r="I108" s="3">
        <v>532.82000000000005</v>
      </c>
      <c r="J108" s="3">
        <v>48.44</v>
      </c>
      <c r="K108" s="3">
        <v>484.38</v>
      </c>
      <c r="L108" s="3">
        <f t="shared" si="4"/>
        <v>3</v>
      </c>
      <c r="M108" s="12">
        <f t="shared" si="3"/>
        <v>1453.1399999999999</v>
      </c>
      <c r="N108" s="1" t="s">
        <v>15</v>
      </c>
    </row>
    <row r="109" spans="1:14" s="1" customFormat="1" x14ac:dyDescent="0.25">
      <c r="A109" s="11" t="s">
        <v>127</v>
      </c>
      <c r="B109" s="3">
        <v>246</v>
      </c>
      <c r="C109" s="4">
        <v>43162</v>
      </c>
      <c r="D109" s="3" t="s">
        <v>128</v>
      </c>
      <c r="E109" s="4">
        <v>43104</v>
      </c>
      <c r="F109" s="4">
        <v>43162</v>
      </c>
      <c r="G109" s="4">
        <v>43159</v>
      </c>
      <c r="H109" s="3" t="s">
        <v>14</v>
      </c>
      <c r="I109" s="5">
        <v>2074</v>
      </c>
      <c r="J109" s="3">
        <v>374</v>
      </c>
      <c r="K109" s="5">
        <v>1700</v>
      </c>
      <c r="L109" s="3">
        <f t="shared" si="4"/>
        <v>3</v>
      </c>
      <c r="M109" s="12">
        <f t="shared" si="3"/>
        <v>5100</v>
      </c>
      <c r="N109" s="1" t="s">
        <v>129</v>
      </c>
    </row>
    <row r="110" spans="1:14" s="1" customFormat="1" x14ac:dyDescent="0.25">
      <c r="A110" s="11" t="s">
        <v>104</v>
      </c>
      <c r="B110" s="3">
        <v>320</v>
      </c>
      <c r="C110" s="4">
        <v>43169</v>
      </c>
      <c r="D110" s="3" t="s">
        <v>130</v>
      </c>
      <c r="E110" s="4">
        <v>43097</v>
      </c>
      <c r="F110" s="4">
        <v>43169</v>
      </c>
      <c r="G110" s="4">
        <v>43168</v>
      </c>
      <c r="H110" s="3" t="s">
        <v>14</v>
      </c>
      <c r="I110" s="5">
        <v>4392.2</v>
      </c>
      <c r="J110" s="3">
        <v>399.29</v>
      </c>
      <c r="K110" s="5">
        <v>3992.91</v>
      </c>
      <c r="L110" s="3">
        <f t="shared" si="4"/>
        <v>1</v>
      </c>
      <c r="M110" s="12">
        <f t="shared" si="3"/>
        <v>3992.91</v>
      </c>
      <c r="N110" s="1" t="s">
        <v>106</v>
      </c>
    </row>
    <row r="111" spans="1:14" s="1" customFormat="1" x14ac:dyDescent="0.25">
      <c r="A111" s="11" t="s">
        <v>131</v>
      </c>
      <c r="B111" s="3">
        <v>251</v>
      </c>
      <c r="C111" s="4">
        <v>43162</v>
      </c>
      <c r="D111" s="3" t="s">
        <v>132</v>
      </c>
      <c r="E111" s="4">
        <v>43123</v>
      </c>
      <c r="F111" s="4">
        <v>43162</v>
      </c>
      <c r="G111" s="4">
        <v>43162</v>
      </c>
      <c r="H111" s="3" t="s">
        <v>61</v>
      </c>
      <c r="I111" s="5">
        <v>4977.28</v>
      </c>
      <c r="J111" s="3">
        <v>452.48</v>
      </c>
      <c r="K111" s="5">
        <v>4524.8</v>
      </c>
      <c r="L111" s="3">
        <f t="shared" si="4"/>
        <v>0</v>
      </c>
      <c r="M111" s="12">
        <f t="shared" si="3"/>
        <v>0</v>
      </c>
      <c r="N111" s="1" t="s">
        <v>27</v>
      </c>
    </row>
    <row r="112" spans="1:14" s="1" customFormat="1" x14ac:dyDescent="0.25">
      <c r="A112" s="11" t="s">
        <v>69</v>
      </c>
      <c r="B112" s="3">
        <v>253</v>
      </c>
      <c r="C112" s="4">
        <v>43162</v>
      </c>
      <c r="D112" s="3" t="s">
        <v>133</v>
      </c>
      <c r="E112" s="4">
        <v>43132</v>
      </c>
      <c r="F112" s="4">
        <v>43162</v>
      </c>
      <c r="G112" s="4">
        <v>43162</v>
      </c>
      <c r="H112" s="3" t="s">
        <v>14</v>
      </c>
      <c r="I112" s="5">
        <v>2926.38</v>
      </c>
      <c r="J112" s="3">
        <v>527.71</v>
      </c>
      <c r="K112" s="5">
        <v>2398.67</v>
      </c>
      <c r="L112" s="3">
        <f t="shared" si="4"/>
        <v>0</v>
      </c>
      <c r="M112" s="12">
        <f t="shared" si="3"/>
        <v>0</v>
      </c>
      <c r="N112" s="1" t="s">
        <v>19</v>
      </c>
    </row>
    <row r="113" spans="1:14" s="1" customFormat="1" x14ac:dyDescent="0.25">
      <c r="A113" s="11" t="s">
        <v>134</v>
      </c>
      <c r="B113" s="3">
        <v>329</v>
      </c>
      <c r="C113" s="4">
        <v>43176</v>
      </c>
      <c r="D113" s="3" t="s">
        <v>135</v>
      </c>
      <c r="E113" s="4">
        <v>43100</v>
      </c>
      <c r="F113" s="4">
        <v>43176</v>
      </c>
      <c r="G113" s="4">
        <v>43176</v>
      </c>
      <c r="H113" s="3" t="s">
        <v>14</v>
      </c>
      <c r="I113" s="3">
        <v>673.73</v>
      </c>
      <c r="J113" s="3">
        <v>25.91</v>
      </c>
      <c r="K113" s="3">
        <v>647.82000000000005</v>
      </c>
      <c r="L113" s="3">
        <f t="shared" si="4"/>
        <v>0</v>
      </c>
      <c r="M113" s="12">
        <f t="shared" si="3"/>
        <v>0</v>
      </c>
      <c r="N113" s="1" t="s">
        <v>136</v>
      </c>
    </row>
    <row r="114" spans="1:14" s="1" customFormat="1" x14ac:dyDescent="0.25">
      <c r="A114" s="11" t="s">
        <v>89</v>
      </c>
      <c r="B114" s="3">
        <v>243</v>
      </c>
      <c r="C114" s="4">
        <v>43162</v>
      </c>
      <c r="D114" s="3" t="str">
        <f>"01442"</f>
        <v>01442</v>
      </c>
      <c r="E114" s="4">
        <v>43131</v>
      </c>
      <c r="F114" s="4">
        <v>43162</v>
      </c>
      <c r="G114" s="4">
        <v>43163</v>
      </c>
      <c r="H114" s="3" t="s">
        <v>14</v>
      </c>
      <c r="I114" s="3">
        <v>379.6</v>
      </c>
      <c r="J114" s="3">
        <v>14.6</v>
      </c>
      <c r="K114" s="3">
        <v>365</v>
      </c>
      <c r="L114" s="3">
        <f t="shared" si="4"/>
        <v>-1</v>
      </c>
      <c r="M114" s="12">
        <f t="shared" si="3"/>
        <v>-365</v>
      </c>
      <c r="N114" s="1" t="s">
        <v>90</v>
      </c>
    </row>
    <row r="115" spans="1:14" s="1" customFormat="1" x14ac:dyDescent="0.25">
      <c r="A115" s="11" t="s">
        <v>137</v>
      </c>
      <c r="B115" s="3">
        <v>237</v>
      </c>
      <c r="C115" s="4">
        <v>43158</v>
      </c>
      <c r="D115" s="7" t="s">
        <v>138</v>
      </c>
      <c r="E115" s="4">
        <v>43075</v>
      </c>
      <c r="F115" s="4">
        <v>43158</v>
      </c>
      <c r="G115" s="4">
        <v>43161</v>
      </c>
      <c r="H115" s="3" t="s">
        <v>14</v>
      </c>
      <c r="I115" s="3">
        <v>68.52</v>
      </c>
      <c r="J115" s="3">
        <v>12.36</v>
      </c>
      <c r="K115" s="3">
        <v>56.16</v>
      </c>
      <c r="L115" s="3">
        <f t="shared" si="4"/>
        <v>-3</v>
      </c>
      <c r="M115" s="12">
        <f t="shared" si="3"/>
        <v>-168.48</v>
      </c>
      <c r="N115" s="1" t="s">
        <v>32</v>
      </c>
    </row>
    <row r="116" spans="1:14" s="1" customFormat="1" x14ac:dyDescent="0.25">
      <c r="A116" s="11" t="s">
        <v>137</v>
      </c>
      <c r="B116" s="3">
        <v>234</v>
      </c>
      <c r="C116" s="4">
        <v>43158</v>
      </c>
      <c r="D116" s="7" t="s">
        <v>139</v>
      </c>
      <c r="E116" s="4">
        <v>43075</v>
      </c>
      <c r="F116" s="4">
        <v>43158</v>
      </c>
      <c r="G116" s="4">
        <v>43161</v>
      </c>
      <c r="H116" s="3" t="s">
        <v>14</v>
      </c>
      <c r="I116" s="3">
        <v>74.33</v>
      </c>
      <c r="J116" s="3">
        <v>13.4</v>
      </c>
      <c r="K116" s="3">
        <v>60.93</v>
      </c>
      <c r="L116" s="3">
        <f t="shared" si="4"/>
        <v>-3</v>
      </c>
      <c r="M116" s="12">
        <f t="shared" si="3"/>
        <v>-182.79</v>
      </c>
      <c r="N116" s="1" t="s">
        <v>32</v>
      </c>
    </row>
    <row r="117" spans="1:14" s="1" customFormat="1" x14ac:dyDescent="0.25">
      <c r="A117" s="11" t="s">
        <v>137</v>
      </c>
      <c r="B117" s="3">
        <v>237</v>
      </c>
      <c r="C117" s="4">
        <v>43158</v>
      </c>
      <c r="D117" s="7" t="s">
        <v>140</v>
      </c>
      <c r="E117" s="4">
        <v>43075</v>
      </c>
      <c r="F117" s="4">
        <v>43158</v>
      </c>
      <c r="G117" s="4">
        <v>43161</v>
      </c>
      <c r="H117" s="3" t="s">
        <v>14</v>
      </c>
      <c r="I117" s="3">
        <v>102.11</v>
      </c>
      <c r="J117" s="3">
        <v>18.41</v>
      </c>
      <c r="K117" s="3">
        <v>83.7</v>
      </c>
      <c r="L117" s="3">
        <f t="shared" si="4"/>
        <v>-3</v>
      </c>
      <c r="M117" s="12">
        <f t="shared" si="3"/>
        <v>-251.10000000000002</v>
      </c>
      <c r="N117" s="1" t="s">
        <v>32</v>
      </c>
    </row>
    <row r="118" spans="1:14" s="1" customFormat="1" x14ac:dyDescent="0.25">
      <c r="A118" s="11" t="s">
        <v>137</v>
      </c>
      <c r="B118" s="3">
        <v>237</v>
      </c>
      <c r="C118" s="4">
        <v>43158</v>
      </c>
      <c r="D118" s="7" t="s">
        <v>141</v>
      </c>
      <c r="E118" s="4">
        <v>43075</v>
      </c>
      <c r="F118" s="4">
        <v>43158</v>
      </c>
      <c r="G118" s="4">
        <v>43161</v>
      </c>
      <c r="H118" s="3" t="s">
        <v>14</v>
      </c>
      <c r="I118" s="3">
        <v>68.08</v>
      </c>
      <c r="J118" s="3">
        <v>12.28</v>
      </c>
      <c r="K118" s="3">
        <v>55.8</v>
      </c>
      <c r="L118" s="3">
        <f t="shared" si="4"/>
        <v>-3</v>
      </c>
      <c r="M118" s="12">
        <f t="shared" si="3"/>
        <v>-167.39999999999998</v>
      </c>
      <c r="N118" s="1" t="s">
        <v>32</v>
      </c>
    </row>
    <row r="119" spans="1:14" s="1" customFormat="1" x14ac:dyDescent="0.25">
      <c r="A119" s="11" t="s">
        <v>137</v>
      </c>
      <c r="B119" s="3">
        <v>236</v>
      </c>
      <c r="C119" s="4">
        <v>43158</v>
      </c>
      <c r="D119" s="7" t="s">
        <v>142</v>
      </c>
      <c r="E119" s="4">
        <v>43075</v>
      </c>
      <c r="F119" s="4">
        <v>43158</v>
      </c>
      <c r="G119" s="4">
        <v>43161</v>
      </c>
      <c r="H119" s="3" t="s">
        <v>14</v>
      </c>
      <c r="I119" s="3">
        <v>317.20999999999998</v>
      </c>
      <c r="J119" s="3">
        <v>57.2</v>
      </c>
      <c r="K119" s="3">
        <v>260.01</v>
      </c>
      <c r="L119" s="3">
        <f>+F119-G119</f>
        <v>-3</v>
      </c>
      <c r="M119" s="12">
        <f t="shared" si="3"/>
        <v>-780.03</v>
      </c>
      <c r="N119" s="1" t="s">
        <v>32</v>
      </c>
    </row>
    <row r="120" spans="1:14" s="1" customFormat="1" x14ac:dyDescent="0.25">
      <c r="A120" s="11" t="s">
        <v>137</v>
      </c>
      <c r="B120" s="3">
        <v>236</v>
      </c>
      <c r="C120" s="4">
        <v>43158</v>
      </c>
      <c r="D120" s="7" t="s">
        <v>143</v>
      </c>
      <c r="E120" s="4">
        <v>43075</v>
      </c>
      <c r="F120" s="4">
        <v>43158</v>
      </c>
      <c r="G120" s="4">
        <v>43161</v>
      </c>
      <c r="H120" s="3" t="s">
        <v>14</v>
      </c>
      <c r="I120" s="3">
        <v>138.13999999999999</v>
      </c>
      <c r="J120" s="3">
        <v>24.91</v>
      </c>
      <c r="K120" s="3">
        <v>113.23</v>
      </c>
      <c r="L120" s="3">
        <f t="shared" ref="L120:L148" si="5">+F120-G120</f>
        <v>-3</v>
      </c>
      <c r="M120" s="12">
        <f t="shared" si="3"/>
        <v>-339.69</v>
      </c>
      <c r="N120" s="1" t="s">
        <v>32</v>
      </c>
    </row>
    <row r="121" spans="1:14" s="1" customFormat="1" x14ac:dyDescent="0.25">
      <c r="A121" s="11" t="s">
        <v>137</v>
      </c>
      <c r="B121" s="3">
        <v>232</v>
      </c>
      <c r="C121" s="4">
        <v>43158</v>
      </c>
      <c r="D121" s="7" t="s">
        <v>144</v>
      </c>
      <c r="E121" s="4">
        <v>43075</v>
      </c>
      <c r="F121" s="4">
        <v>43158</v>
      </c>
      <c r="G121" s="4">
        <v>43161</v>
      </c>
      <c r="H121" s="3" t="s">
        <v>14</v>
      </c>
      <c r="I121" s="3">
        <v>158.82</v>
      </c>
      <c r="J121" s="3">
        <v>28.64</v>
      </c>
      <c r="K121" s="3">
        <v>130.18</v>
      </c>
      <c r="L121" s="3">
        <f t="shared" si="5"/>
        <v>-3</v>
      </c>
      <c r="M121" s="12">
        <f t="shared" si="3"/>
        <v>-390.54</v>
      </c>
      <c r="N121" s="1" t="s">
        <v>32</v>
      </c>
    </row>
    <row r="122" spans="1:14" s="1" customFormat="1" x14ac:dyDescent="0.25">
      <c r="A122" s="11" t="s">
        <v>137</v>
      </c>
      <c r="B122" s="3">
        <v>233</v>
      </c>
      <c r="C122" s="4">
        <v>43158</v>
      </c>
      <c r="D122" s="7" t="s">
        <v>145</v>
      </c>
      <c r="E122" s="4">
        <v>43075</v>
      </c>
      <c r="F122" s="4">
        <v>43158</v>
      </c>
      <c r="G122" s="4">
        <v>43161</v>
      </c>
      <c r="H122" s="3" t="s">
        <v>14</v>
      </c>
      <c r="I122" s="3">
        <v>79.84</v>
      </c>
      <c r="J122" s="3">
        <v>14.4</v>
      </c>
      <c r="K122" s="3">
        <v>65.44</v>
      </c>
      <c r="L122" s="3">
        <f t="shared" si="5"/>
        <v>-3</v>
      </c>
      <c r="M122" s="12">
        <f t="shared" si="3"/>
        <v>-196.32</v>
      </c>
      <c r="N122" s="1" t="s">
        <v>32</v>
      </c>
    </row>
    <row r="123" spans="1:14" s="1" customFormat="1" x14ac:dyDescent="0.25">
      <c r="A123" s="11" t="s">
        <v>137</v>
      </c>
      <c r="B123" s="3">
        <v>237</v>
      </c>
      <c r="C123" s="4">
        <v>43158</v>
      </c>
      <c r="D123" s="7" t="s">
        <v>146</v>
      </c>
      <c r="E123" s="4">
        <v>43075</v>
      </c>
      <c r="F123" s="4">
        <v>43158</v>
      </c>
      <c r="G123" s="4">
        <v>43161</v>
      </c>
      <c r="H123" s="3" t="s">
        <v>14</v>
      </c>
      <c r="I123" s="3">
        <v>135.79</v>
      </c>
      <c r="J123" s="3">
        <v>24.49</v>
      </c>
      <c r="K123" s="3">
        <v>111.3</v>
      </c>
      <c r="L123" s="3">
        <f t="shared" si="5"/>
        <v>-3</v>
      </c>
      <c r="M123" s="12">
        <f t="shared" si="3"/>
        <v>-333.9</v>
      </c>
      <c r="N123" s="1" t="s">
        <v>32</v>
      </c>
    </row>
    <row r="124" spans="1:14" s="1" customFormat="1" x14ac:dyDescent="0.25">
      <c r="A124" s="11" t="s">
        <v>137</v>
      </c>
      <c r="B124" s="3">
        <v>237</v>
      </c>
      <c r="C124" s="4">
        <v>43158</v>
      </c>
      <c r="D124" s="7" t="s">
        <v>147</v>
      </c>
      <c r="E124" s="4">
        <v>43075</v>
      </c>
      <c r="F124" s="4">
        <v>43158</v>
      </c>
      <c r="G124" s="4">
        <v>43161</v>
      </c>
      <c r="H124" s="3" t="s">
        <v>14</v>
      </c>
      <c r="I124" s="3">
        <v>99.58</v>
      </c>
      <c r="J124" s="3">
        <v>17.96</v>
      </c>
      <c r="K124" s="3">
        <v>81.62</v>
      </c>
      <c r="L124" s="3">
        <f t="shared" si="5"/>
        <v>-3</v>
      </c>
      <c r="M124" s="12">
        <f t="shared" si="3"/>
        <v>-244.86</v>
      </c>
      <c r="N124" s="1" t="s">
        <v>32</v>
      </c>
    </row>
    <row r="125" spans="1:14" s="1" customFormat="1" x14ac:dyDescent="0.25">
      <c r="A125" s="11" t="s">
        <v>137</v>
      </c>
      <c r="B125" s="3">
        <v>237</v>
      </c>
      <c r="C125" s="4">
        <v>43158</v>
      </c>
      <c r="D125" s="7" t="s">
        <v>148</v>
      </c>
      <c r="E125" s="4">
        <v>43075</v>
      </c>
      <c r="F125" s="4">
        <v>43158</v>
      </c>
      <c r="G125" s="4">
        <v>43161</v>
      </c>
      <c r="H125" s="3" t="s">
        <v>14</v>
      </c>
      <c r="I125" s="3">
        <v>97.36</v>
      </c>
      <c r="J125" s="3">
        <v>17.559999999999999</v>
      </c>
      <c r="K125" s="3">
        <v>79.8</v>
      </c>
      <c r="L125" s="3">
        <f t="shared" si="5"/>
        <v>-3</v>
      </c>
      <c r="M125" s="12">
        <f t="shared" si="3"/>
        <v>-239.39999999999998</v>
      </c>
      <c r="N125" s="1" t="s">
        <v>32</v>
      </c>
    </row>
    <row r="126" spans="1:14" s="1" customFormat="1" x14ac:dyDescent="0.25">
      <c r="A126" s="11" t="s">
        <v>137</v>
      </c>
      <c r="B126" s="3">
        <v>235</v>
      </c>
      <c r="C126" s="4">
        <v>43158</v>
      </c>
      <c r="D126" s="7" t="s">
        <v>149</v>
      </c>
      <c r="E126" s="4">
        <v>43075</v>
      </c>
      <c r="F126" s="4">
        <v>43158</v>
      </c>
      <c r="G126" s="4">
        <v>43161</v>
      </c>
      <c r="H126" s="3" t="s">
        <v>14</v>
      </c>
      <c r="I126" s="3">
        <v>118.73</v>
      </c>
      <c r="J126" s="3">
        <v>21.41</v>
      </c>
      <c r="K126" s="3">
        <v>97.32</v>
      </c>
      <c r="L126" s="3">
        <f t="shared" si="5"/>
        <v>-3</v>
      </c>
      <c r="M126" s="12">
        <f t="shared" si="3"/>
        <v>-291.95999999999998</v>
      </c>
      <c r="N126" s="1" t="s">
        <v>32</v>
      </c>
    </row>
    <row r="127" spans="1:14" s="1" customFormat="1" x14ac:dyDescent="0.25">
      <c r="A127" s="11" t="s">
        <v>137</v>
      </c>
      <c r="B127" s="3">
        <v>237</v>
      </c>
      <c r="C127" s="4">
        <v>43158</v>
      </c>
      <c r="D127" s="7" t="s">
        <v>150</v>
      </c>
      <c r="E127" s="4">
        <v>43075</v>
      </c>
      <c r="F127" s="4">
        <v>43158</v>
      </c>
      <c r="G127" s="4">
        <v>43161</v>
      </c>
      <c r="H127" s="3" t="s">
        <v>14</v>
      </c>
      <c r="I127" s="3">
        <v>365.88</v>
      </c>
      <c r="J127" s="3">
        <v>65.98</v>
      </c>
      <c r="K127" s="3">
        <v>299.89999999999998</v>
      </c>
      <c r="L127" s="3">
        <f t="shared" si="5"/>
        <v>-3</v>
      </c>
      <c r="M127" s="12">
        <f t="shared" si="3"/>
        <v>-899.69999999999993</v>
      </c>
      <c r="N127" s="1" t="s">
        <v>32</v>
      </c>
    </row>
    <row r="128" spans="1:14" s="1" customFormat="1" x14ac:dyDescent="0.25">
      <c r="A128" s="11" t="s">
        <v>151</v>
      </c>
      <c r="B128" s="3">
        <v>124</v>
      </c>
      <c r="C128" s="4">
        <v>43154</v>
      </c>
      <c r="D128" s="3" t="s">
        <v>152</v>
      </c>
      <c r="E128" s="4">
        <v>43087</v>
      </c>
      <c r="F128" s="4">
        <v>43155</v>
      </c>
      <c r="G128" s="4">
        <v>43159</v>
      </c>
      <c r="H128" s="3" t="s">
        <v>14</v>
      </c>
      <c r="I128" s="3">
        <v>409.55</v>
      </c>
      <c r="J128" s="3">
        <v>73.849999999999994</v>
      </c>
      <c r="K128" s="3">
        <v>335.7</v>
      </c>
      <c r="L128" s="3">
        <f t="shared" si="5"/>
        <v>-4</v>
      </c>
      <c r="M128" s="12">
        <f t="shared" si="3"/>
        <v>-1342.8</v>
      </c>
      <c r="N128" s="1" t="s">
        <v>153</v>
      </c>
    </row>
    <row r="129" spans="1:14" s="1" customFormat="1" x14ac:dyDescent="0.25">
      <c r="A129" s="11" t="s">
        <v>53</v>
      </c>
      <c r="B129" s="3">
        <v>143</v>
      </c>
      <c r="C129" s="4">
        <v>43155</v>
      </c>
      <c r="D129" s="3" t="str">
        <f>"0002101747"</f>
        <v>0002101747</v>
      </c>
      <c r="E129" s="4">
        <v>43123</v>
      </c>
      <c r="F129" s="4">
        <v>43155</v>
      </c>
      <c r="G129" s="4">
        <v>43159</v>
      </c>
      <c r="H129" s="3" t="s">
        <v>14</v>
      </c>
      <c r="I129" s="5">
        <v>1854.4</v>
      </c>
      <c r="J129" s="3">
        <v>334.4</v>
      </c>
      <c r="K129" s="5">
        <v>1520</v>
      </c>
      <c r="L129" s="3">
        <f t="shared" si="5"/>
        <v>-4</v>
      </c>
      <c r="M129" s="12">
        <f t="shared" si="3"/>
        <v>-6080</v>
      </c>
      <c r="N129" s="1" t="s">
        <v>27</v>
      </c>
    </row>
    <row r="130" spans="1:14" s="1" customFormat="1" x14ac:dyDescent="0.25">
      <c r="A130" s="11" t="s">
        <v>25</v>
      </c>
      <c r="B130" s="3">
        <v>331</v>
      </c>
      <c r="C130" s="4">
        <v>43176</v>
      </c>
      <c r="D130" s="3" t="s">
        <v>154</v>
      </c>
      <c r="E130" s="4">
        <v>43150</v>
      </c>
      <c r="F130" s="4">
        <v>43176</v>
      </c>
      <c r="G130" s="4">
        <v>43180</v>
      </c>
      <c r="H130" s="3" t="s">
        <v>14</v>
      </c>
      <c r="I130" s="3">
        <v>629.52</v>
      </c>
      <c r="J130" s="3">
        <v>113.52</v>
      </c>
      <c r="K130" s="3">
        <v>516</v>
      </c>
      <c r="L130" s="3">
        <f t="shared" si="5"/>
        <v>-4</v>
      </c>
      <c r="M130" s="12">
        <f t="shared" si="3"/>
        <v>-2064</v>
      </c>
      <c r="N130" s="1" t="s">
        <v>27</v>
      </c>
    </row>
    <row r="131" spans="1:14" s="1" customFormat="1" ht="30" x14ac:dyDescent="0.25">
      <c r="A131" s="11" t="s">
        <v>155</v>
      </c>
      <c r="B131" s="3">
        <v>134</v>
      </c>
      <c r="C131" s="4">
        <v>43155</v>
      </c>
      <c r="D131" s="3" t="s">
        <v>156</v>
      </c>
      <c r="E131" s="4">
        <v>43098</v>
      </c>
      <c r="F131" s="4">
        <v>43155</v>
      </c>
      <c r="G131" s="4">
        <v>43159</v>
      </c>
      <c r="H131" s="3" t="s">
        <v>14</v>
      </c>
      <c r="I131" s="3">
        <v>446.52</v>
      </c>
      <c r="J131" s="3">
        <v>80.52</v>
      </c>
      <c r="K131" s="3">
        <v>366</v>
      </c>
      <c r="L131" s="3">
        <f t="shared" si="5"/>
        <v>-4</v>
      </c>
      <c r="M131" s="12">
        <f t="shared" ref="M131:M186" si="6">+K131*L131</f>
        <v>-1464</v>
      </c>
      <c r="N131" s="1" t="s">
        <v>157</v>
      </c>
    </row>
    <row r="132" spans="1:14" s="1" customFormat="1" ht="30" x14ac:dyDescent="0.25">
      <c r="A132" s="11" t="s">
        <v>155</v>
      </c>
      <c r="B132" s="3">
        <v>136</v>
      </c>
      <c r="C132" s="4">
        <v>43155</v>
      </c>
      <c r="D132" s="3" t="s">
        <v>158</v>
      </c>
      <c r="E132" s="4">
        <v>43098</v>
      </c>
      <c r="F132" s="4">
        <v>43155</v>
      </c>
      <c r="G132" s="4">
        <v>43159</v>
      </c>
      <c r="H132" s="3" t="s">
        <v>14</v>
      </c>
      <c r="I132" s="5">
        <v>3338.23</v>
      </c>
      <c r="J132" s="3">
        <v>601.98</v>
      </c>
      <c r="K132" s="5">
        <v>2736.25</v>
      </c>
      <c r="L132" s="3">
        <f t="shared" si="5"/>
        <v>-4</v>
      </c>
      <c r="M132" s="12">
        <f t="shared" si="6"/>
        <v>-10945</v>
      </c>
      <c r="N132" s="1" t="s">
        <v>157</v>
      </c>
    </row>
    <row r="133" spans="1:14" s="1" customFormat="1" ht="30" x14ac:dyDescent="0.25">
      <c r="A133" s="11" t="s">
        <v>155</v>
      </c>
      <c r="B133" s="3">
        <v>135</v>
      </c>
      <c r="C133" s="4">
        <v>43155</v>
      </c>
      <c r="D133" s="3" t="s">
        <v>159</v>
      </c>
      <c r="E133" s="4">
        <v>43098</v>
      </c>
      <c r="F133" s="4">
        <v>43155</v>
      </c>
      <c r="G133" s="4">
        <v>43159</v>
      </c>
      <c r="H133" s="3" t="s">
        <v>14</v>
      </c>
      <c r="I133" s="3">
        <v>366</v>
      </c>
      <c r="J133" s="3">
        <v>66</v>
      </c>
      <c r="K133" s="3">
        <v>300</v>
      </c>
      <c r="L133" s="3">
        <f t="shared" si="5"/>
        <v>-4</v>
      </c>
      <c r="M133" s="12">
        <f t="shared" si="6"/>
        <v>-1200</v>
      </c>
      <c r="N133" s="1" t="s">
        <v>157</v>
      </c>
    </row>
    <row r="134" spans="1:14" s="1" customFormat="1" x14ac:dyDescent="0.25">
      <c r="A134" s="11" t="s">
        <v>160</v>
      </c>
      <c r="B134" s="3">
        <v>138</v>
      </c>
      <c r="C134" s="4">
        <v>43155</v>
      </c>
      <c r="D134" s="3" t="s">
        <v>161</v>
      </c>
      <c r="E134" s="4">
        <v>43112</v>
      </c>
      <c r="F134" s="4">
        <v>43155</v>
      </c>
      <c r="G134" s="4">
        <v>43159</v>
      </c>
      <c r="H134" s="3" t="s">
        <v>14</v>
      </c>
      <c r="I134" s="5">
        <v>1403</v>
      </c>
      <c r="J134" s="3">
        <v>253</v>
      </c>
      <c r="K134" s="5">
        <v>1150</v>
      </c>
      <c r="L134" s="3">
        <f t="shared" si="5"/>
        <v>-4</v>
      </c>
      <c r="M134" s="12">
        <f t="shared" si="6"/>
        <v>-4600</v>
      </c>
      <c r="N134" s="1" t="s">
        <v>58</v>
      </c>
    </row>
    <row r="135" spans="1:14" s="1" customFormat="1" x14ac:dyDescent="0.25">
      <c r="A135" s="11" t="s">
        <v>134</v>
      </c>
      <c r="B135" s="3">
        <v>153</v>
      </c>
      <c r="C135" s="4">
        <v>43155</v>
      </c>
      <c r="D135" s="3" t="s">
        <v>162</v>
      </c>
      <c r="E135" s="4">
        <v>43100</v>
      </c>
      <c r="F135" s="4">
        <v>43155</v>
      </c>
      <c r="G135" s="4">
        <v>43159</v>
      </c>
      <c r="H135" s="3" t="s">
        <v>14</v>
      </c>
      <c r="I135" s="5">
        <v>11217.84</v>
      </c>
      <c r="J135" s="3">
        <v>431.46</v>
      </c>
      <c r="K135" s="5">
        <v>10786.38</v>
      </c>
      <c r="L135" s="3">
        <f t="shared" si="5"/>
        <v>-4</v>
      </c>
      <c r="M135" s="12">
        <f t="shared" si="6"/>
        <v>-43145.52</v>
      </c>
      <c r="N135" s="1" t="s">
        <v>136</v>
      </c>
    </row>
    <row r="136" spans="1:14" s="1" customFormat="1" x14ac:dyDescent="0.25">
      <c r="A136" s="11" t="s">
        <v>163</v>
      </c>
      <c r="B136" s="3">
        <v>302</v>
      </c>
      <c r="C136" s="4">
        <v>43169</v>
      </c>
      <c r="D136" s="3" t="str">
        <f>"7"</f>
        <v>7</v>
      </c>
      <c r="E136" s="4">
        <v>43131</v>
      </c>
      <c r="F136" s="4">
        <v>43169</v>
      </c>
      <c r="G136" s="4">
        <v>43173</v>
      </c>
      <c r="H136" s="3" t="s">
        <v>61</v>
      </c>
      <c r="I136" s="3">
        <v>597.79999999999995</v>
      </c>
      <c r="J136" s="3">
        <v>107.8</v>
      </c>
      <c r="K136" s="3">
        <v>490</v>
      </c>
      <c r="L136" s="3">
        <f t="shared" si="5"/>
        <v>-4</v>
      </c>
      <c r="M136" s="12">
        <f t="shared" si="6"/>
        <v>-1960</v>
      </c>
      <c r="N136" s="1" t="s">
        <v>153</v>
      </c>
    </row>
    <row r="137" spans="1:14" s="1" customFormat="1" x14ac:dyDescent="0.25">
      <c r="A137" s="11" t="s">
        <v>20</v>
      </c>
      <c r="B137" s="3">
        <v>145</v>
      </c>
      <c r="C137" s="4">
        <v>43155</v>
      </c>
      <c r="D137" s="3" t="str">
        <f>"17173"</f>
        <v>17173</v>
      </c>
      <c r="E137" s="4">
        <v>43100</v>
      </c>
      <c r="F137" s="4">
        <v>43155</v>
      </c>
      <c r="G137" s="4">
        <v>43160</v>
      </c>
      <c r="H137" s="3" t="s">
        <v>14</v>
      </c>
      <c r="I137" s="5">
        <v>16749.97</v>
      </c>
      <c r="J137" s="5">
        <v>3020.49</v>
      </c>
      <c r="K137" s="5">
        <v>13729.48</v>
      </c>
      <c r="L137" s="3">
        <f t="shared" si="5"/>
        <v>-5</v>
      </c>
      <c r="M137" s="12">
        <f t="shared" si="6"/>
        <v>-68647.399999999994</v>
      </c>
      <c r="N137" s="1" t="s">
        <v>21</v>
      </c>
    </row>
    <row r="138" spans="1:14" s="1" customFormat="1" x14ac:dyDescent="0.25">
      <c r="A138" s="11" t="s">
        <v>164</v>
      </c>
      <c r="B138" s="3">
        <v>248</v>
      </c>
      <c r="C138" s="4">
        <v>43162</v>
      </c>
      <c r="D138" s="3" t="s">
        <v>124</v>
      </c>
      <c r="E138" s="4">
        <v>43131</v>
      </c>
      <c r="F138" s="4">
        <v>43162</v>
      </c>
      <c r="G138" s="4">
        <v>43167</v>
      </c>
      <c r="H138" s="3" t="s">
        <v>61</v>
      </c>
      <c r="I138" s="5">
        <v>14882</v>
      </c>
      <c r="J138" s="5">
        <v>2683.64</v>
      </c>
      <c r="K138" s="5">
        <v>12198.36</v>
      </c>
      <c r="L138" s="3">
        <f t="shared" si="5"/>
        <v>-5</v>
      </c>
      <c r="M138" s="12">
        <f t="shared" si="6"/>
        <v>-60991.8</v>
      </c>
      <c r="N138" s="1" t="s">
        <v>67</v>
      </c>
    </row>
    <row r="139" spans="1:14" s="1" customFormat="1" x14ac:dyDescent="0.25">
      <c r="A139" s="11" t="s">
        <v>165</v>
      </c>
      <c r="B139" s="3">
        <v>306</v>
      </c>
      <c r="C139" s="4">
        <v>43169</v>
      </c>
      <c r="D139" s="3" t="s">
        <v>166</v>
      </c>
      <c r="E139" s="4">
        <v>43138</v>
      </c>
      <c r="F139" s="4">
        <v>43169</v>
      </c>
      <c r="G139" s="4">
        <v>43174</v>
      </c>
      <c r="H139" s="3" t="s">
        <v>14</v>
      </c>
      <c r="I139" s="3">
        <v>308.05</v>
      </c>
      <c r="J139" s="3">
        <v>55.55</v>
      </c>
      <c r="K139" s="3">
        <v>252.5</v>
      </c>
      <c r="L139" s="3">
        <f t="shared" si="5"/>
        <v>-5</v>
      </c>
      <c r="M139" s="12">
        <f t="shared" si="6"/>
        <v>-1262.5</v>
      </c>
      <c r="N139" s="1" t="s">
        <v>90</v>
      </c>
    </row>
    <row r="140" spans="1:14" s="1" customFormat="1" x14ac:dyDescent="0.25">
      <c r="A140" s="11" t="s">
        <v>53</v>
      </c>
      <c r="B140" s="3">
        <v>271</v>
      </c>
      <c r="C140" s="4">
        <v>43162</v>
      </c>
      <c r="D140" s="3" t="str">
        <f>"0001102933"</f>
        <v>0001102933</v>
      </c>
      <c r="E140" s="4">
        <v>43131</v>
      </c>
      <c r="F140" s="4">
        <v>43162</v>
      </c>
      <c r="G140" s="4">
        <v>43168</v>
      </c>
      <c r="H140" s="3" t="s">
        <v>14</v>
      </c>
      <c r="I140" s="3">
        <v>68</v>
      </c>
      <c r="J140" s="3">
        <v>0</v>
      </c>
      <c r="K140" s="3">
        <v>68</v>
      </c>
      <c r="L140" s="3">
        <f t="shared" si="5"/>
        <v>-6</v>
      </c>
      <c r="M140" s="12">
        <f t="shared" si="6"/>
        <v>-408</v>
      </c>
      <c r="N140" s="1" t="s">
        <v>27</v>
      </c>
    </row>
    <row r="141" spans="1:14" s="1" customFormat="1" x14ac:dyDescent="0.25">
      <c r="A141" s="11" t="s">
        <v>53</v>
      </c>
      <c r="B141" s="3">
        <v>271</v>
      </c>
      <c r="C141" s="4">
        <v>43162</v>
      </c>
      <c r="D141" s="3" t="str">
        <f>"0001102560"</f>
        <v>0001102560</v>
      </c>
      <c r="E141" s="4">
        <v>43131</v>
      </c>
      <c r="F141" s="4">
        <v>43162</v>
      </c>
      <c r="G141" s="4">
        <v>43168</v>
      </c>
      <c r="H141" s="3" t="s">
        <v>14</v>
      </c>
      <c r="I141" s="3">
        <v>733.35</v>
      </c>
      <c r="J141" s="3">
        <v>0</v>
      </c>
      <c r="K141" s="3">
        <v>733.35</v>
      </c>
      <c r="L141" s="3">
        <f t="shared" si="5"/>
        <v>-6</v>
      </c>
      <c r="M141" s="12">
        <f t="shared" si="6"/>
        <v>-4400.1000000000004</v>
      </c>
      <c r="N141" s="1" t="s">
        <v>27</v>
      </c>
    </row>
    <row r="142" spans="1:14" s="1" customFormat="1" x14ac:dyDescent="0.25">
      <c r="A142" s="11" t="s">
        <v>18</v>
      </c>
      <c r="B142" s="3">
        <v>336</v>
      </c>
      <c r="C142" s="4">
        <v>43176</v>
      </c>
      <c r="D142" s="3" t="str">
        <f>"41800541945"</f>
        <v>41800541945</v>
      </c>
      <c r="E142" s="4">
        <v>43152</v>
      </c>
      <c r="F142" s="4">
        <v>43176</v>
      </c>
      <c r="G142" s="4">
        <v>43182</v>
      </c>
      <c r="H142" s="3" t="s">
        <v>14</v>
      </c>
      <c r="I142" s="3">
        <v>132.94</v>
      </c>
      <c r="J142" s="3">
        <v>16.04</v>
      </c>
      <c r="K142" s="3">
        <v>116.9</v>
      </c>
      <c r="L142" s="3">
        <f t="shared" si="5"/>
        <v>-6</v>
      </c>
      <c r="M142" s="12">
        <f t="shared" si="6"/>
        <v>-701.40000000000009</v>
      </c>
      <c r="N142" s="1" t="s">
        <v>19</v>
      </c>
    </row>
    <row r="143" spans="1:14" s="1" customFormat="1" x14ac:dyDescent="0.25">
      <c r="A143" s="11" t="s">
        <v>167</v>
      </c>
      <c r="B143" s="3">
        <v>314</v>
      </c>
      <c r="C143" s="4">
        <v>43169</v>
      </c>
      <c r="D143" s="3" t="s">
        <v>100</v>
      </c>
      <c r="E143" s="4">
        <v>43140</v>
      </c>
      <c r="F143" s="4">
        <v>43169</v>
      </c>
      <c r="G143" s="4">
        <v>43176</v>
      </c>
      <c r="H143" s="3" t="s">
        <v>61</v>
      </c>
      <c r="I143" s="5">
        <v>3111</v>
      </c>
      <c r="J143" s="3">
        <v>561</v>
      </c>
      <c r="K143" s="5">
        <v>2550</v>
      </c>
      <c r="L143" s="3">
        <f t="shared" si="5"/>
        <v>-7</v>
      </c>
      <c r="M143" s="12">
        <f t="shared" si="6"/>
        <v>-17850</v>
      </c>
      <c r="N143" s="1" t="s">
        <v>97</v>
      </c>
    </row>
    <row r="144" spans="1:14" s="1" customFormat="1" x14ac:dyDescent="0.25">
      <c r="A144" s="11" t="s">
        <v>168</v>
      </c>
      <c r="B144" s="3">
        <v>121</v>
      </c>
      <c r="C144" s="4">
        <v>43154</v>
      </c>
      <c r="D144" s="3" t="str">
        <f>"001"</f>
        <v>001</v>
      </c>
      <c r="E144" s="4">
        <v>43130</v>
      </c>
      <c r="F144" s="4">
        <v>43154</v>
      </c>
      <c r="G144" s="4">
        <v>43161</v>
      </c>
      <c r="H144" s="3" t="s">
        <v>14</v>
      </c>
      <c r="I144" s="5">
        <v>17325.95</v>
      </c>
      <c r="J144" s="5">
        <v>3124.35</v>
      </c>
      <c r="K144" s="5">
        <v>14201.6</v>
      </c>
      <c r="L144" s="3">
        <f t="shared" si="5"/>
        <v>-7</v>
      </c>
      <c r="M144" s="12">
        <f t="shared" si="6"/>
        <v>-99411.199999999997</v>
      </c>
      <c r="N144" s="1" t="s">
        <v>93</v>
      </c>
    </row>
    <row r="145" spans="1:14" s="1" customFormat="1" ht="30" x14ac:dyDescent="0.25">
      <c r="A145" s="11" t="s">
        <v>169</v>
      </c>
      <c r="B145" s="3">
        <v>152</v>
      </c>
      <c r="C145" s="4">
        <v>43155</v>
      </c>
      <c r="D145" s="3" t="s">
        <v>170</v>
      </c>
      <c r="E145" s="4">
        <v>43104</v>
      </c>
      <c r="F145" s="4">
        <v>43155</v>
      </c>
      <c r="G145" s="4">
        <v>43163</v>
      </c>
      <c r="H145" s="3" t="s">
        <v>14</v>
      </c>
      <c r="I145" s="3">
        <v>874.13</v>
      </c>
      <c r="J145" s="3">
        <v>41.63</v>
      </c>
      <c r="K145" s="3">
        <v>832.5</v>
      </c>
      <c r="L145" s="3">
        <f t="shared" si="5"/>
        <v>-8</v>
      </c>
      <c r="M145" s="12">
        <f t="shared" si="6"/>
        <v>-6660</v>
      </c>
      <c r="N145" s="1" t="s">
        <v>171</v>
      </c>
    </row>
    <row r="146" spans="1:14" s="1" customFormat="1" x14ac:dyDescent="0.25">
      <c r="A146" s="11" t="s">
        <v>48</v>
      </c>
      <c r="B146" s="3">
        <v>310</v>
      </c>
      <c r="C146" s="4">
        <v>43169</v>
      </c>
      <c r="D146" s="3" t="s">
        <v>172</v>
      </c>
      <c r="E146" s="4">
        <v>43147</v>
      </c>
      <c r="F146" s="4">
        <v>43169</v>
      </c>
      <c r="G146" s="4">
        <v>43177</v>
      </c>
      <c r="H146" s="3" t="s">
        <v>14</v>
      </c>
      <c r="I146" s="5">
        <v>2246.02</v>
      </c>
      <c r="J146" s="3">
        <v>405.02</v>
      </c>
      <c r="K146" s="5">
        <v>1841</v>
      </c>
      <c r="L146" s="3">
        <f t="shared" si="5"/>
        <v>-8</v>
      </c>
      <c r="M146" s="12">
        <f t="shared" si="6"/>
        <v>-14728</v>
      </c>
      <c r="N146" s="1" t="s">
        <v>157</v>
      </c>
    </row>
    <row r="147" spans="1:14" s="1" customFormat="1" x14ac:dyDescent="0.25">
      <c r="A147" s="11" t="s">
        <v>48</v>
      </c>
      <c r="B147" s="3">
        <v>311</v>
      </c>
      <c r="C147" s="4">
        <v>43169</v>
      </c>
      <c r="D147" s="3" t="s">
        <v>173</v>
      </c>
      <c r="E147" s="4">
        <v>43147</v>
      </c>
      <c r="F147" s="4">
        <v>43169</v>
      </c>
      <c r="G147" s="4">
        <v>43177</v>
      </c>
      <c r="H147" s="3" t="s">
        <v>14</v>
      </c>
      <c r="I147" s="5">
        <v>1622.6</v>
      </c>
      <c r="J147" s="3">
        <v>292.60000000000002</v>
      </c>
      <c r="K147" s="5">
        <v>1330</v>
      </c>
      <c r="L147" s="3">
        <f t="shared" si="5"/>
        <v>-8</v>
      </c>
      <c r="M147" s="12">
        <f t="shared" si="6"/>
        <v>-10640</v>
      </c>
      <c r="N147" s="1" t="s">
        <v>157</v>
      </c>
    </row>
    <row r="148" spans="1:14" s="1" customFormat="1" x14ac:dyDescent="0.25">
      <c r="A148" s="11" t="s">
        <v>48</v>
      </c>
      <c r="B148" s="3">
        <v>316</v>
      </c>
      <c r="C148" s="4">
        <v>43169</v>
      </c>
      <c r="D148" s="3" t="s">
        <v>174</v>
      </c>
      <c r="E148" s="4">
        <v>43147</v>
      </c>
      <c r="F148" s="4">
        <v>43169</v>
      </c>
      <c r="G148" s="4">
        <v>43177</v>
      </c>
      <c r="H148" s="3" t="s">
        <v>14</v>
      </c>
      <c r="I148" s="3">
        <v>807.64</v>
      </c>
      <c r="J148" s="3">
        <v>145.63999999999999</v>
      </c>
      <c r="K148" s="3">
        <v>662</v>
      </c>
      <c r="L148" s="3">
        <f t="shared" si="5"/>
        <v>-8</v>
      </c>
      <c r="M148" s="12">
        <f t="shared" si="6"/>
        <v>-5296</v>
      </c>
      <c r="N148" s="1" t="s">
        <v>157</v>
      </c>
    </row>
    <row r="149" spans="1:14" s="1" customFormat="1" x14ac:dyDescent="0.25">
      <c r="A149" s="11" t="s">
        <v>175</v>
      </c>
      <c r="B149" s="3">
        <v>241</v>
      </c>
      <c r="C149" s="4">
        <v>43158</v>
      </c>
      <c r="D149" s="3" t="str">
        <f>"0000000377"</f>
        <v>0000000377</v>
      </c>
      <c r="E149" s="4">
        <v>43111</v>
      </c>
      <c r="F149" s="4">
        <v>43158</v>
      </c>
      <c r="G149" s="4">
        <v>43171</v>
      </c>
      <c r="H149" s="3" t="s">
        <v>14</v>
      </c>
      <c r="I149" s="3">
        <v>60.87</v>
      </c>
      <c r="J149" s="3">
        <v>10.98</v>
      </c>
      <c r="K149" s="3">
        <v>49.89</v>
      </c>
      <c r="L149" s="3">
        <f>+F149-G149</f>
        <v>-13</v>
      </c>
      <c r="M149" s="12">
        <f t="shared" si="6"/>
        <v>-648.57000000000005</v>
      </c>
      <c r="N149" s="1" t="s">
        <v>27</v>
      </c>
    </row>
    <row r="150" spans="1:14" s="1" customFormat="1" x14ac:dyDescent="0.25">
      <c r="A150" s="11" t="s">
        <v>175</v>
      </c>
      <c r="B150" s="3">
        <v>240</v>
      </c>
      <c r="C150" s="4">
        <v>43158</v>
      </c>
      <c r="D150" s="3" t="str">
        <f>"0000000378"</f>
        <v>0000000378</v>
      </c>
      <c r="E150" s="4">
        <v>43111</v>
      </c>
      <c r="F150" s="4">
        <v>43158</v>
      </c>
      <c r="G150" s="4">
        <v>43171</v>
      </c>
      <c r="H150" s="3" t="s">
        <v>14</v>
      </c>
      <c r="I150" s="3">
        <v>66.44</v>
      </c>
      <c r="J150" s="3">
        <v>11.98</v>
      </c>
      <c r="K150" s="3">
        <v>54.46</v>
      </c>
      <c r="L150" s="3">
        <f t="shared" ref="L150:L179" si="7">+F150-G150</f>
        <v>-13</v>
      </c>
      <c r="M150" s="12">
        <f t="shared" si="6"/>
        <v>-707.98</v>
      </c>
      <c r="N150" s="1" t="s">
        <v>27</v>
      </c>
    </row>
    <row r="151" spans="1:14" s="1" customFormat="1" x14ac:dyDescent="0.25">
      <c r="A151" s="11" t="s">
        <v>73</v>
      </c>
      <c r="B151" s="3">
        <v>334</v>
      </c>
      <c r="C151" s="4">
        <v>43176</v>
      </c>
      <c r="D151" s="3" t="s">
        <v>176</v>
      </c>
      <c r="E151" s="4">
        <v>43159</v>
      </c>
      <c r="F151" s="4">
        <v>43176</v>
      </c>
      <c r="G151" s="4">
        <v>43190</v>
      </c>
      <c r="H151" s="3" t="s">
        <v>14</v>
      </c>
      <c r="I151" s="5">
        <v>1392.02</v>
      </c>
      <c r="J151" s="3">
        <v>251.02</v>
      </c>
      <c r="K151" s="5">
        <v>1141</v>
      </c>
      <c r="L151" s="3">
        <f t="shared" si="7"/>
        <v>-14</v>
      </c>
      <c r="M151" s="12">
        <f t="shared" si="6"/>
        <v>-15974</v>
      </c>
      <c r="N151" s="1" t="s">
        <v>75</v>
      </c>
    </row>
    <row r="152" spans="1:14" s="1" customFormat="1" x14ac:dyDescent="0.25">
      <c r="A152" s="11" t="s">
        <v>36</v>
      </c>
      <c r="B152" s="3">
        <v>340</v>
      </c>
      <c r="C152" s="4">
        <v>43176</v>
      </c>
      <c r="D152" s="3" t="s">
        <v>177</v>
      </c>
      <c r="E152" s="4">
        <v>43160</v>
      </c>
      <c r="F152" s="4">
        <v>43176</v>
      </c>
      <c r="G152" s="4">
        <v>43190</v>
      </c>
      <c r="H152" s="3" t="s">
        <v>14</v>
      </c>
      <c r="I152" s="3">
        <v>786.67</v>
      </c>
      <c r="J152" s="3">
        <v>141.86000000000001</v>
      </c>
      <c r="K152" s="3">
        <v>644.80999999999995</v>
      </c>
      <c r="L152" s="3">
        <f t="shared" si="7"/>
        <v>-14</v>
      </c>
      <c r="M152" s="12">
        <f t="shared" si="6"/>
        <v>-9027.34</v>
      </c>
      <c r="N152" s="1" t="s">
        <v>86</v>
      </c>
    </row>
    <row r="153" spans="1:14" s="1" customFormat="1" x14ac:dyDescent="0.25">
      <c r="A153" s="11" t="s">
        <v>36</v>
      </c>
      <c r="B153" s="3">
        <v>341</v>
      </c>
      <c r="C153" s="4">
        <v>43176</v>
      </c>
      <c r="D153" s="3" t="s">
        <v>178</v>
      </c>
      <c r="E153" s="4">
        <v>43160</v>
      </c>
      <c r="F153" s="4">
        <v>43176</v>
      </c>
      <c r="G153" s="4">
        <v>43190</v>
      </c>
      <c r="H153" s="3" t="s">
        <v>14</v>
      </c>
      <c r="I153" s="5">
        <v>4066.35</v>
      </c>
      <c r="J153" s="3">
        <v>733.28</v>
      </c>
      <c r="K153" s="5">
        <v>3333.07</v>
      </c>
      <c r="L153" s="3">
        <f t="shared" si="7"/>
        <v>-14</v>
      </c>
      <c r="M153" s="12">
        <f t="shared" si="6"/>
        <v>-46662.98</v>
      </c>
      <c r="N153" s="1" t="s">
        <v>86</v>
      </c>
    </row>
    <row r="154" spans="1:14" s="1" customFormat="1" x14ac:dyDescent="0.25">
      <c r="A154" s="11" t="s">
        <v>36</v>
      </c>
      <c r="B154" s="3">
        <v>348</v>
      </c>
      <c r="C154" s="4">
        <v>43176</v>
      </c>
      <c r="D154" s="3" t="s">
        <v>179</v>
      </c>
      <c r="E154" s="4">
        <v>43160</v>
      </c>
      <c r="F154" s="4">
        <v>43176</v>
      </c>
      <c r="G154" s="4">
        <v>43190</v>
      </c>
      <c r="H154" s="3" t="s">
        <v>14</v>
      </c>
      <c r="I154" s="3">
        <v>407.98</v>
      </c>
      <c r="J154" s="3">
        <v>73.569999999999993</v>
      </c>
      <c r="K154" s="3">
        <v>334.41</v>
      </c>
      <c r="L154" s="3">
        <f t="shared" si="7"/>
        <v>-14</v>
      </c>
      <c r="M154" s="12">
        <f t="shared" si="6"/>
        <v>-4681.7400000000007</v>
      </c>
      <c r="N154" s="1" t="s">
        <v>86</v>
      </c>
    </row>
    <row r="155" spans="1:14" s="1" customFormat="1" x14ac:dyDescent="0.25">
      <c r="A155" s="11" t="s">
        <v>36</v>
      </c>
      <c r="B155" s="3">
        <v>347</v>
      </c>
      <c r="C155" s="4">
        <v>43176</v>
      </c>
      <c r="D155" s="3" t="s">
        <v>180</v>
      </c>
      <c r="E155" s="4">
        <v>43160</v>
      </c>
      <c r="F155" s="4">
        <v>43176</v>
      </c>
      <c r="G155" s="4">
        <v>43190</v>
      </c>
      <c r="H155" s="3" t="s">
        <v>14</v>
      </c>
      <c r="I155" s="3">
        <v>386.7</v>
      </c>
      <c r="J155" s="3">
        <v>69.73</v>
      </c>
      <c r="K155" s="3">
        <v>316.97000000000003</v>
      </c>
      <c r="L155" s="3">
        <f t="shared" si="7"/>
        <v>-14</v>
      </c>
      <c r="M155" s="12">
        <f t="shared" si="6"/>
        <v>-4437.58</v>
      </c>
      <c r="N155" s="1" t="s">
        <v>86</v>
      </c>
    </row>
    <row r="156" spans="1:14" s="1" customFormat="1" x14ac:dyDescent="0.25">
      <c r="A156" s="11" t="s">
        <v>36</v>
      </c>
      <c r="B156" s="3">
        <v>342</v>
      </c>
      <c r="C156" s="4">
        <v>43176</v>
      </c>
      <c r="D156" s="3" t="s">
        <v>181</v>
      </c>
      <c r="E156" s="4">
        <v>43160</v>
      </c>
      <c r="F156" s="4">
        <v>43176</v>
      </c>
      <c r="G156" s="4">
        <v>43190</v>
      </c>
      <c r="H156" s="3" t="s">
        <v>14</v>
      </c>
      <c r="I156" s="3">
        <v>468.5</v>
      </c>
      <c r="J156" s="3">
        <v>86.29</v>
      </c>
      <c r="K156" s="3">
        <v>382.21</v>
      </c>
      <c r="L156" s="3">
        <f t="shared" si="7"/>
        <v>-14</v>
      </c>
      <c r="M156" s="12">
        <f t="shared" si="6"/>
        <v>-5350.94</v>
      </c>
      <c r="N156" s="1" t="s">
        <v>86</v>
      </c>
    </row>
    <row r="157" spans="1:14" s="1" customFormat="1" x14ac:dyDescent="0.25">
      <c r="A157" s="11" t="s">
        <v>36</v>
      </c>
      <c r="B157" s="3">
        <v>338</v>
      </c>
      <c r="C157" s="4">
        <v>43176</v>
      </c>
      <c r="D157" s="3" t="s">
        <v>182</v>
      </c>
      <c r="E157" s="4">
        <v>43160</v>
      </c>
      <c r="F157" s="4">
        <v>43176</v>
      </c>
      <c r="G157" s="4">
        <v>43190</v>
      </c>
      <c r="H157" s="3" t="s">
        <v>14</v>
      </c>
      <c r="I157" s="3">
        <v>794.96</v>
      </c>
      <c r="J157" s="3">
        <v>143.35</v>
      </c>
      <c r="K157" s="3">
        <v>651.61</v>
      </c>
      <c r="L157" s="3">
        <f t="shared" si="7"/>
        <v>-14</v>
      </c>
      <c r="M157" s="12">
        <f t="shared" si="6"/>
        <v>-9122.5400000000009</v>
      </c>
      <c r="N157" s="1" t="s">
        <v>86</v>
      </c>
    </row>
    <row r="158" spans="1:14" s="1" customFormat="1" x14ac:dyDescent="0.25">
      <c r="A158" s="11" t="s">
        <v>36</v>
      </c>
      <c r="B158" s="3">
        <v>343</v>
      </c>
      <c r="C158" s="4">
        <v>43176</v>
      </c>
      <c r="D158" s="3" t="s">
        <v>183</v>
      </c>
      <c r="E158" s="4">
        <v>43160</v>
      </c>
      <c r="F158" s="4">
        <v>43176</v>
      </c>
      <c r="G158" s="4">
        <v>43190</v>
      </c>
      <c r="H158" s="3" t="s">
        <v>14</v>
      </c>
      <c r="I158" s="3">
        <v>515.52</v>
      </c>
      <c r="J158" s="3">
        <v>92.96</v>
      </c>
      <c r="K158" s="3">
        <v>422.56</v>
      </c>
      <c r="L158" s="3">
        <f t="shared" si="7"/>
        <v>-14</v>
      </c>
      <c r="M158" s="12">
        <f t="shared" si="6"/>
        <v>-5915.84</v>
      </c>
      <c r="N158" s="1" t="s">
        <v>86</v>
      </c>
    </row>
    <row r="159" spans="1:14" s="1" customFormat="1" x14ac:dyDescent="0.25">
      <c r="A159" s="11" t="s">
        <v>36</v>
      </c>
      <c r="B159" s="3">
        <v>345</v>
      </c>
      <c r="C159" s="4">
        <v>43176</v>
      </c>
      <c r="D159" s="3" t="s">
        <v>184</v>
      </c>
      <c r="E159" s="4">
        <v>43160</v>
      </c>
      <c r="F159" s="4">
        <v>43176</v>
      </c>
      <c r="G159" s="4">
        <v>43190</v>
      </c>
      <c r="H159" s="3" t="s">
        <v>14</v>
      </c>
      <c r="I159" s="3">
        <v>331.67</v>
      </c>
      <c r="J159" s="3">
        <v>59.81</v>
      </c>
      <c r="K159" s="3">
        <v>271.86</v>
      </c>
      <c r="L159" s="3">
        <f t="shared" si="7"/>
        <v>-14</v>
      </c>
      <c r="M159" s="12">
        <f t="shared" si="6"/>
        <v>-3806.04</v>
      </c>
      <c r="N159" s="1" t="s">
        <v>86</v>
      </c>
    </row>
    <row r="160" spans="1:14" s="1" customFormat="1" x14ac:dyDescent="0.25">
      <c r="A160" s="11" t="s">
        <v>36</v>
      </c>
      <c r="B160" s="3">
        <v>344</v>
      </c>
      <c r="C160" s="4">
        <v>43176</v>
      </c>
      <c r="D160" s="3" t="s">
        <v>185</v>
      </c>
      <c r="E160" s="4">
        <v>43160</v>
      </c>
      <c r="F160" s="4">
        <v>43176</v>
      </c>
      <c r="G160" s="4">
        <v>43190</v>
      </c>
      <c r="H160" s="3" t="s">
        <v>14</v>
      </c>
      <c r="I160" s="5">
        <v>1093.1400000000001</v>
      </c>
      <c r="J160" s="3">
        <v>197.12</v>
      </c>
      <c r="K160" s="3">
        <v>896.02</v>
      </c>
      <c r="L160" s="3">
        <f t="shared" si="7"/>
        <v>-14</v>
      </c>
      <c r="M160" s="12">
        <f t="shared" si="6"/>
        <v>-12544.279999999999</v>
      </c>
      <c r="N160" s="1" t="s">
        <v>86</v>
      </c>
    </row>
    <row r="161" spans="1:14" s="1" customFormat="1" x14ac:dyDescent="0.25">
      <c r="A161" s="11" t="s">
        <v>36</v>
      </c>
      <c r="B161" s="3">
        <v>339</v>
      </c>
      <c r="C161" s="4">
        <v>43176</v>
      </c>
      <c r="D161" s="3" t="s">
        <v>186</v>
      </c>
      <c r="E161" s="4">
        <v>43160</v>
      </c>
      <c r="F161" s="4">
        <v>43176</v>
      </c>
      <c r="G161" s="4">
        <v>43190</v>
      </c>
      <c r="H161" s="3" t="s">
        <v>14</v>
      </c>
      <c r="I161" s="3">
        <v>356.7</v>
      </c>
      <c r="J161" s="3">
        <v>64.319999999999993</v>
      </c>
      <c r="K161" s="3">
        <v>292.38</v>
      </c>
      <c r="L161" s="3">
        <f t="shared" si="7"/>
        <v>-14</v>
      </c>
      <c r="M161" s="12">
        <f t="shared" si="6"/>
        <v>-4093.3199999999997</v>
      </c>
      <c r="N161" s="1" t="s">
        <v>86</v>
      </c>
    </row>
    <row r="162" spans="1:14" s="1" customFormat="1" x14ac:dyDescent="0.25">
      <c r="A162" s="11" t="s">
        <v>36</v>
      </c>
      <c r="B162" s="3">
        <v>346</v>
      </c>
      <c r="C162" s="4">
        <v>43176</v>
      </c>
      <c r="D162" s="3" t="s">
        <v>187</v>
      </c>
      <c r="E162" s="4">
        <v>43160</v>
      </c>
      <c r="F162" s="4">
        <v>43176</v>
      </c>
      <c r="G162" s="4">
        <v>43190</v>
      </c>
      <c r="H162" s="3" t="s">
        <v>14</v>
      </c>
      <c r="I162" s="3">
        <v>146.63</v>
      </c>
      <c r="J162" s="3">
        <v>26.44</v>
      </c>
      <c r="K162" s="3">
        <v>120.19</v>
      </c>
      <c r="L162" s="3">
        <f t="shared" si="7"/>
        <v>-14</v>
      </c>
      <c r="M162" s="12">
        <f t="shared" si="6"/>
        <v>-1682.6599999999999</v>
      </c>
      <c r="N162" s="1" t="s">
        <v>86</v>
      </c>
    </row>
    <row r="163" spans="1:14" s="1" customFormat="1" x14ac:dyDescent="0.25">
      <c r="A163" s="11" t="s">
        <v>104</v>
      </c>
      <c r="B163" s="3">
        <v>327</v>
      </c>
      <c r="C163" s="4">
        <v>43176</v>
      </c>
      <c r="D163" s="3" t="s">
        <v>188</v>
      </c>
      <c r="E163" s="4">
        <v>43131</v>
      </c>
      <c r="F163" s="4">
        <v>43176</v>
      </c>
      <c r="G163" s="4">
        <v>43190</v>
      </c>
      <c r="H163" s="3" t="s">
        <v>14</v>
      </c>
      <c r="I163" s="5">
        <v>4392.2</v>
      </c>
      <c r="J163" s="3">
        <v>399.29</v>
      </c>
      <c r="K163" s="5">
        <v>3992.91</v>
      </c>
      <c r="L163" s="3">
        <f t="shared" si="7"/>
        <v>-14</v>
      </c>
      <c r="M163" s="12">
        <f t="shared" si="6"/>
        <v>-55900.74</v>
      </c>
      <c r="N163" s="1" t="s">
        <v>189</v>
      </c>
    </row>
    <row r="164" spans="1:14" s="1" customFormat="1" x14ac:dyDescent="0.25">
      <c r="A164" s="11" t="s">
        <v>69</v>
      </c>
      <c r="B164" s="3">
        <v>335</v>
      </c>
      <c r="C164" s="4">
        <v>43176</v>
      </c>
      <c r="D164" s="3" t="s">
        <v>190</v>
      </c>
      <c r="E164" s="4">
        <v>43160</v>
      </c>
      <c r="F164" s="4">
        <v>43176</v>
      </c>
      <c r="G164" s="4">
        <v>43191</v>
      </c>
      <c r="H164" s="3" t="s">
        <v>14</v>
      </c>
      <c r="I164" s="5">
        <v>2926.38</v>
      </c>
      <c r="J164" s="3">
        <v>527.71</v>
      </c>
      <c r="K164" s="5">
        <v>2398.67</v>
      </c>
      <c r="L164" s="3">
        <f t="shared" si="7"/>
        <v>-15</v>
      </c>
      <c r="M164" s="12">
        <f t="shared" si="6"/>
        <v>-35980.050000000003</v>
      </c>
      <c r="N164" s="1" t="s">
        <v>19</v>
      </c>
    </row>
    <row r="165" spans="1:14" s="1" customFormat="1" x14ac:dyDescent="0.25">
      <c r="A165" s="11" t="s">
        <v>168</v>
      </c>
      <c r="B165" s="3">
        <v>122</v>
      </c>
      <c r="C165" s="4">
        <v>43154</v>
      </c>
      <c r="D165" s="3" t="str">
        <f>"002"</f>
        <v>002</v>
      </c>
      <c r="E165" s="4">
        <v>43143</v>
      </c>
      <c r="F165" s="4">
        <v>43154</v>
      </c>
      <c r="G165" s="4">
        <v>43174</v>
      </c>
      <c r="H165" s="3" t="s">
        <v>14</v>
      </c>
      <c r="I165" s="5">
        <v>29987.200000000001</v>
      </c>
      <c r="J165" s="5">
        <v>3975.2</v>
      </c>
      <c r="K165" s="5">
        <v>26012</v>
      </c>
      <c r="L165" s="3">
        <f t="shared" si="7"/>
        <v>-20</v>
      </c>
      <c r="M165" s="12">
        <f t="shared" si="6"/>
        <v>-520240</v>
      </c>
      <c r="N165" s="1" t="s">
        <v>93</v>
      </c>
    </row>
    <row r="166" spans="1:14" s="1" customFormat="1" x14ac:dyDescent="0.25">
      <c r="A166" s="11" t="s">
        <v>30</v>
      </c>
      <c r="B166" s="3">
        <v>337</v>
      </c>
      <c r="C166" s="4">
        <v>43176</v>
      </c>
      <c r="D166" s="3" t="s">
        <v>191</v>
      </c>
      <c r="E166" s="4">
        <v>43159</v>
      </c>
      <c r="F166" s="4">
        <v>43176</v>
      </c>
      <c r="G166" s="4">
        <v>43196</v>
      </c>
      <c r="H166" s="3" t="s">
        <v>14</v>
      </c>
      <c r="I166" s="3">
        <v>862.25</v>
      </c>
      <c r="J166" s="3">
        <v>0</v>
      </c>
      <c r="K166" s="3">
        <v>862.25</v>
      </c>
      <c r="L166" s="3">
        <f t="shared" si="7"/>
        <v>-20</v>
      </c>
      <c r="M166" s="12">
        <f t="shared" si="6"/>
        <v>-17245</v>
      </c>
      <c r="N166" s="1" t="s">
        <v>97</v>
      </c>
    </row>
    <row r="167" spans="1:14" s="1" customFormat="1" x14ac:dyDescent="0.25">
      <c r="A167" s="11" t="s">
        <v>53</v>
      </c>
      <c r="B167" s="3">
        <v>350</v>
      </c>
      <c r="C167" s="4">
        <v>43176</v>
      </c>
      <c r="D167" s="3" t="str">
        <f>"0001106252"</f>
        <v>0001106252</v>
      </c>
      <c r="E167" s="4">
        <v>43159</v>
      </c>
      <c r="F167" s="4">
        <v>43176</v>
      </c>
      <c r="G167" s="4">
        <v>43197</v>
      </c>
      <c r="H167" s="3" t="s">
        <v>14</v>
      </c>
      <c r="I167" s="5">
        <v>2434.4</v>
      </c>
      <c r="J167" s="3">
        <v>0</v>
      </c>
      <c r="K167" s="5">
        <v>2434.4</v>
      </c>
      <c r="L167" s="3">
        <f t="shared" si="7"/>
        <v>-21</v>
      </c>
      <c r="M167" s="12">
        <f t="shared" si="6"/>
        <v>-51122.400000000001</v>
      </c>
      <c r="N167" s="1" t="s">
        <v>27</v>
      </c>
    </row>
    <row r="168" spans="1:14" s="1" customFormat="1" x14ac:dyDescent="0.25">
      <c r="A168" s="11" t="s">
        <v>53</v>
      </c>
      <c r="B168" s="3">
        <v>301</v>
      </c>
      <c r="C168" s="4">
        <v>43169</v>
      </c>
      <c r="D168" s="3" t="str">
        <f>"0002105959"</f>
        <v>0002105959</v>
      </c>
      <c r="E168" s="4">
        <v>43131</v>
      </c>
      <c r="F168" s="4">
        <v>43169</v>
      </c>
      <c r="G168" s="4">
        <v>43190</v>
      </c>
      <c r="H168" s="3" t="s">
        <v>14</v>
      </c>
      <c r="I168" s="3">
        <v>36.6</v>
      </c>
      <c r="J168" s="3">
        <v>6.6</v>
      </c>
      <c r="K168" s="3">
        <v>30</v>
      </c>
      <c r="L168" s="3">
        <f t="shared" si="7"/>
        <v>-21</v>
      </c>
      <c r="M168" s="12">
        <f t="shared" si="6"/>
        <v>-630</v>
      </c>
      <c r="N168" s="1" t="s">
        <v>27</v>
      </c>
    </row>
    <row r="169" spans="1:14" s="1" customFormat="1" x14ac:dyDescent="0.25">
      <c r="A169" s="11" t="s">
        <v>53</v>
      </c>
      <c r="B169" s="3">
        <v>350</v>
      </c>
      <c r="C169" s="4">
        <v>43176</v>
      </c>
      <c r="D169" s="3" t="str">
        <f>"0001105888"</f>
        <v>0001105888</v>
      </c>
      <c r="E169" s="4">
        <v>43159</v>
      </c>
      <c r="F169" s="4">
        <v>43176</v>
      </c>
      <c r="G169" s="4">
        <v>43197</v>
      </c>
      <c r="H169" s="3" t="s">
        <v>14</v>
      </c>
      <c r="I169" s="3">
        <v>70.45</v>
      </c>
      <c r="J169" s="3">
        <v>0</v>
      </c>
      <c r="K169" s="3">
        <v>70.45</v>
      </c>
      <c r="L169" s="3">
        <f t="shared" si="7"/>
        <v>-21</v>
      </c>
      <c r="M169" s="12">
        <f t="shared" si="6"/>
        <v>-1479.45</v>
      </c>
      <c r="N169" s="1" t="s">
        <v>27</v>
      </c>
    </row>
    <row r="170" spans="1:14" s="1" customFormat="1" x14ac:dyDescent="0.25">
      <c r="A170" s="11" t="s">
        <v>192</v>
      </c>
      <c r="B170" s="3">
        <v>307</v>
      </c>
      <c r="C170" s="4">
        <v>43169</v>
      </c>
      <c r="D170" s="3" t="s">
        <v>193</v>
      </c>
      <c r="E170" s="4">
        <v>43146</v>
      </c>
      <c r="F170" s="4">
        <v>43169</v>
      </c>
      <c r="G170" s="4">
        <v>43190</v>
      </c>
      <c r="H170" s="3" t="s">
        <v>14</v>
      </c>
      <c r="I170" s="5">
        <v>2897.5</v>
      </c>
      <c r="J170" s="3">
        <v>522.5</v>
      </c>
      <c r="K170" s="5">
        <v>2375</v>
      </c>
      <c r="L170" s="3">
        <f t="shared" si="7"/>
        <v>-21</v>
      </c>
      <c r="M170" s="12">
        <f t="shared" si="6"/>
        <v>-49875</v>
      </c>
      <c r="N170" s="1" t="s">
        <v>110</v>
      </c>
    </row>
    <row r="171" spans="1:14" s="1" customFormat="1" x14ac:dyDescent="0.25">
      <c r="A171" s="11" t="s">
        <v>194</v>
      </c>
      <c r="B171" s="3">
        <v>313</v>
      </c>
      <c r="C171" s="4">
        <v>43169</v>
      </c>
      <c r="D171" s="3" t="str">
        <f>"212"</f>
        <v>212</v>
      </c>
      <c r="E171" s="4">
        <v>43129</v>
      </c>
      <c r="F171" s="4">
        <v>43169</v>
      </c>
      <c r="G171" s="4">
        <v>43190</v>
      </c>
      <c r="H171" s="3" t="s">
        <v>14</v>
      </c>
      <c r="I171" s="3">
        <v>500.57</v>
      </c>
      <c r="J171" s="3">
        <v>90.27</v>
      </c>
      <c r="K171" s="3">
        <v>410.3</v>
      </c>
      <c r="L171" s="3">
        <f t="shared" si="7"/>
        <v>-21</v>
      </c>
      <c r="M171" s="12">
        <f t="shared" si="6"/>
        <v>-8616.3000000000011</v>
      </c>
      <c r="N171" s="1" t="s">
        <v>81</v>
      </c>
    </row>
    <row r="172" spans="1:14" s="1" customFormat="1" x14ac:dyDescent="0.25">
      <c r="A172" s="11" t="s">
        <v>195</v>
      </c>
      <c r="B172" s="3">
        <v>298</v>
      </c>
      <c r="C172" s="4">
        <v>43169</v>
      </c>
      <c r="D172" s="3" t="s">
        <v>196</v>
      </c>
      <c r="E172" s="4">
        <v>43124</v>
      </c>
      <c r="F172" s="4">
        <v>43169</v>
      </c>
      <c r="G172" s="4">
        <v>43190</v>
      </c>
      <c r="H172" s="3" t="s">
        <v>14</v>
      </c>
      <c r="I172" s="3">
        <v>69.540000000000006</v>
      </c>
      <c r="J172" s="3">
        <v>12.54</v>
      </c>
      <c r="K172" s="3">
        <v>57</v>
      </c>
      <c r="L172" s="3">
        <f t="shared" si="7"/>
        <v>-21</v>
      </c>
      <c r="M172" s="12">
        <f t="shared" si="6"/>
        <v>-1197</v>
      </c>
      <c r="N172" s="1" t="s">
        <v>129</v>
      </c>
    </row>
    <row r="173" spans="1:14" s="1" customFormat="1" x14ac:dyDescent="0.25">
      <c r="A173" s="11" t="s">
        <v>127</v>
      </c>
      <c r="B173" s="3">
        <v>275</v>
      </c>
      <c r="C173" s="4">
        <v>43169</v>
      </c>
      <c r="D173" s="3" t="s">
        <v>197</v>
      </c>
      <c r="E173" s="4">
        <v>43138</v>
      </c>
      <c r="F173" s="4">
        <v>43169</v>
      </c>
      <c r="G173" s="4">
        <v>43190</v>
      </c>
      <c r="H173" s="3" t="s">
        <v>14</v>
      </c>
      <c r="I173" s="3">
        <v>610</v>
      </c>
      <c r="J173" s="3">
        <v>110</v>
      </c>
      <c r="K173" s="3">
        <v>500</v>
      </c>
      <c r="L173" s="3">
        <f t="shared" si="7"/>
        <v>-21</v>
      </c>
      <c r="M173" s="12">
        <f t="shared" si="6"/>
        <v>-10500</v>
      </c>
      <c r="N173" s="1" t="s">
        <v>129</v>
      </c>
    </row>
    <row r="174" spans="1:14" s="1" customFormat="1" x14ac:dyDescent="0.25">
      <c r="A174" s="11" t="s">
        <v>198</v>
      </c>
      <c r="B174" s="3">
        <v>308</v>
      </c>
      <c r="C174" s="4">
        <v>43169</v>
      </c>
      <c r="D174" s="3" t="s">
        <v>199</v>
      </c>
      <c r="E174" s="4">
        <v>43131</v>
      </c>
      <c r="F174" s="4">
        <v>43169</v>
      </c>
      <c r="G174" s="4">
        <v>43190</v>
      </c>
      <c r="H174" s="3" t="s">
        <v>14</v>
      </c>
      <c r="I174" s="3">
        <v>107.97</v>
      </c>
      <c r="J174" s="3">
        <v>19.47</v>
      </c>
      <c r="K174" s="3">
        <v>88.5</v>
      </c>
      <c r="L174" s="3">
        <f t="shared" si="7"/>
        <v>-21</v>
      </c>
      <c r="M174" s="12">
        <f t="shared" si="6"/>
        <v>-1858.5</v>
      </c>
      <c r="N174" s="1" t="s">
        <v>200</v>
      </c>
    </row>
    <row r="175" spans="1:14" s="1" customFormat="1" x14ac:dyDescent="0.25">
      <c r="A175" s="11" t="s">
        <v>22</v>
      </c>
      <c r="B175" s="3">
        <v>252</v>
      </c>
      <c r="C175" s="4">
        <v>43162</v>
      </c>
      <c r="D175" s="3" t="s">
        <v>201</v>
      </c>
      <c r="E175" s="4">
        <v>43129</v>
      </c>
      <c r="F175" s="4">
        <v>43162</v>
      </c>
      <c r="G175" s="4">
        <v>43190</v>
      </c>
      <c r="H175" s="3" t="s">
        <v>14</v>
      </c>
      <c r="I175" s="5">
        <v>3424.54</v>
      </c>
      <c r="J175" s="3">
        <v>617.54</v>
      </c>
      <c r="K175" s="5">
        <v>2807</v>
      </c>
      <c r="L175" s="3">
        <f t="shared" si="7"/>
        <v>-28</v>
      </c>
      <c r="M175" s="12">
        <f t="shared" si="6"/>
        <v>-78596</v>
      </c>
      <c r="N175" s="1" t="s">
        <v>129</v>
      </c>
    </row>
    <row r="176" spans="1:14" s="1" customFormat="1" x14ac:dyDescent="0.25">
      <c r="A176" s="11" t="s">
        <v>192</v>
      </c>
      <c r="B176" s="3">
        <v>254</v>
      </c>
      <c r="C176" s="4">
        <v>43162</v>
      </c>
      <c r="D176" s="3" t="s">
        <v>202</v>
      </c>
      <c r="E176" s="4">
        <v>43146</v>
      </c>
      <c r="F176" s="4">
        <v>43162</v>
      </c>
      <c r="G176" s="4">
        <v>43190</v>
      </c>
      <c r="H176" s="3" t="s">
        <v>14</v>
      </c>
      <c r="I176" s="5">
        <v>3977.2</v>
      </c>
      <c r="J176" s="3">
        <v>717.2</v>
      </c>
      <c r="K176" s="5">
        <v>3260</v>
      </c>
      <c r="L176" s="3">
        <f t="shared" si="7"/>
        <v>-28</v>
      </c>
      <c r="M176" s="12">
        <f t="shared" si="6"/>
        <v>-91280</v>
      </c>
      <c r="N176" s="1" t="s">
        <v>110</v>
      </c>
    </row>
    <row r="177" spans="1:14" s="1" customFormat="1" x14ac:dyDescent="0.25">
      <c r="A177" s="11" t="s">
        <v>134</v>
      </c>
      <c r="B177" s="3">
        <v>247</v>
      </c>
      <c r="C177" s="4">
        <v>43162</v>
      </c>
      <c r="D177" s="3" t="s">
        <v>203</v>
      </c>
      <c r="E177" s="4">
        <v>43131</v>
      </c>
      <c r="F177" s="4">
        <v>43162</v>
      </c>
      <c r="G177" s="4">
        <v>43190</v>
      </c>
      <c r="H177" s="3" t="s">
        <v>14</v>
      </c>
      <c r="I177" s="5">
        <v>13548.29</v>
      </c>
      <c r="J177" s="3">
        <v>521.09</v>
      </c>
      <c r="K177" s="5">
        <v>13027.2</v>
      </c>
      <c r="L177" s="3">
        <f t="shared" si="7"/>
        <v>-28</v>
      </c>
      <c r="M177" s="12">
        <f t="shared" si="6"/>
        <v>-364761.60000000003</v>
      </c>
      <c r="N177" s="1" t="s">
        <v>81</v>
      </c>
    </row>
    <row r="178" spans="1:14" s="1" customFormat="1" ht="30" x14ac:dyDescent="0.25">
      <c r="A178" s="11" t="s">
        <v>169</v>
      </c>
      <c r="B178" s="3">
        <v>304</v>
      </c>
      <c r="C178" s="4">
        <v>43169</v>
      </c>
      <c r="D178" s="3" t="s">
        <v>204</v>
      </c>
      <c r="E178" s="4">
        <v>43139</v>
      </c>
      <c r="F178" s="4">
        <v>43169</v>
      </c>
      <c r="G178" s="4">
        <v>43198</v>
      </c>
      <c r="H178" s="3" t="s">
        <v>14</v>
      </c>
      <c r="I178" s="3">
        <v>943.5</v>
      </c>
      <c r="J178" s="3">
        <v>0</v>
      </c>
      <c r="K178" s="3">
        <v>943.5</v>
      </c>
      <c r="L178" s="3">
        <f t="shared" si="7"/>
        <v>-29</v>
      </c>
      <c r="M178" s="12">
        <f t="shared" si="6"/>
        <v>-27361.5</v>
      </c>
      <c r="N178" s="1" t="s">
        <v>171</v>
      </c>
    </row>
    <row r="179" spans="1:14" s="1" customFormat="1" ht="30" x14ac:dyDescent="0.25">
      <c r="A179" s="11" t="s">
        <v>205</v>
      </c>
      <c r="B179" s="3">
        <v>154</v>
      </c>
      <c r="C179" s="4">
        <v>43155</v>
      </c>
      <c r="D179" s="3" t="str">
        <f>"1010463162"</f>
        <v>1010463162</v>
      </c>
      <c r="E179" s="4">
        <v>43125</v>
      </c>
      <c r="F179" s="4">
        <v>43155</v>
      </c>
      <c r="G179" s="4">
        <v>43190</v>
      </c>
      <c r="H179" s="3" t="s">
        <v>14</v>
      </c>
      <c r="I179" s="3">
        <v>532.09</v>
      </c>
      <c r="J179" s="3">
        <v>95.95</v>
      </c>
      <c r="K179" s="3">
        <v>436.14</v>
      </c>
      <c r="L179" s="3">
        <f t="shared" si="7"/>
        <v>-35</v>
      </c>
      <c r="M179" s="12">
        <f t="shared" si="6"/>
        <v>-15264.9</v>
      </c>
      <c r="N179" s="1" t="s">
        <v>72</v>
      </c>
    </row>
    <row r="180" spans="1:14" s="1" customFormat="1" x14ac:dyDescent="0.25">
      <c r="A180" s="11" t="s">
        <v>206</v>
      </c>
      <c r="B180" s="3">
        <v>332</v>
      </c>
      <c r="C180" s="4">
        <v>43176</v>
      </c>
      <c r="D180" s="3" t="s">
        <v>207</v>
      </c>
      <c r="E180" s="4">
        <v>43153</v>
      </c>
      <c r="F180" s="4">
        <v>43176</v>
      </c>
      <c r="G180" s="4">
        <v>43212</v>
      </c>
      <c r="H180" s="3" t="s">
        <v>14</v>
      </c>
      <c r="I180" s="3">
        <v>26.32</v>
      </c>
      <c r="J180" s="3">
        <v>0</v>
      </c>
      <c r="K180" s="3">
        <v>26.32</v>
      </c>
      <c r="L180" s="3">
        <f>+F180-G180</f>
        <v>-36</v>
      </c>
      <c r="M180" s="12">
        <f t="shared" si="6"/>
        <v>-947.52</v>
      </c>
      <c r="N180" s="1" t="s">
        <v>55</v>
      </c>
    </row>
    <row r="181" spans="1:14" s="1" customFormat="1" x14ac:dyDescent="0.25">
      <c r="A181" s="11" t="s">
        <v>53</v>
      </c>
      <c r="B181" s="3">
        <v>351</v>
      </c>
      <c r="C181" s="4">
        <v>43176</v>
      </c>
      <c r="D181" s="3" t="str">
        <f>"0002111769"</f>
        <v>0002111769</v>
      </c>
      <c r="E181" s="4">
        <v>43159</v>
      </c>
      <c r="F181" s="4">
        <v>43176</v>
      </c>
      <c r="G181" s="4">
        <v>43218</v>
      </c>
      <c r="H181" s="3" t="s">
        <v>14</v>
      </c>
      <c r="I181" s="5">
        <v>2445.86</v>
      </c>
      <c r="J181" s="3">
        <v>441.06</v>
      </c>
      <c r="K181" s="5">
        <v>2004.8</v>
      </c>
      <c r="L181" s="3">
        <f t="shared" ref="L181:L186" si="8">+F181-G181</f>
        <v>-42</v>
      </c>
      <c r="M181" s="12">
        <f t="shared" si="6"/>
        <v>-84201.599999999991</v>
      </c>
      <c r="N181" s="1" t="s">
        <v>27</v>
      </c>
    </row>
    <row r="182" spans="1:14" s="1" customFormat="1" x14ac:dyDescent="0.25">
      <c r="A182" s="11" t="s">
        <v>104</v>
      </c>
      <c r="B182" s="3">
        <v>328</v>
      </c>
      <c r="C182" s="4">
        <v>43176</v>
      </c>
      <c r="D182" s="3" t="s">
        <v>208</v>
      </c>
      <c r="E182" s="4">
        <v>43159</v>
      </c>
      <c r="F182" s="4">
        <v>43176</v>
      </c>
      <c r="G182" s="4">
        <v>43220</v>
      </c>
      <c r="H182" s="3" t="s">
        <v>14</v>
      </c>
      <c r="I182" s="5">
        <v>4392.2</v>
      </c>
      <c r="J182" s="3">
        <v>399.29</v>
      </c>
      <c r="K182" s="5">
        <v>3992.91</v>
      </c>
      <c r="L182" s="3">
        <f t="shared" si="8"/>
        <v>-44</v>
      </c>
      <c r="M182" s="12">
        <f t="shared" si="6"/>
        <v>-175688.03999999998</v>
      </c>
      <c r="N182" s="1" t="s">
        <v>106</v>
      </c>
    </row>
    <row r="183" spans="1:14" s="1" customFormat="1" x14ac:dyDescent="0.25">
      <c r="A183" s="11" t="s">
        <v>175</v>
      </c>
      <c r="B183" s="3">
        <v>239</v>
      </c>
      <c r="C183" s="4">
        <v>43158</v>
      </c>
      <c r="D183" s="3" t="str">
        <f>"0000002582"</f>
        <v>0000002582</v>
      </c>
      <c r="E183" s="4">
        <v>43143</v>
      </c>
      <c r="F183" s="4">
        <v>43158</v>
      </c>
      <c r="G183" s="4">
        <v>43203</v>
      </c>
      <c r="H183" s="3" t="s">
        <v>14</v>
      </c>
      <c r="I183" s="3">
        <v>57.91</v>
      </c>
      <c r="J183" s="3">
        <v>10.44</v>
      </c>
      <c r="K183" s="3">
        <v>47.47</v>
      </c>
      <c r="L183" s="3">
        <f t="shared" si="8"/>
        <v>-45</v>
      </c>
      <c r="M183" s="12">
        <f t="shared" si="6"/>
        <v>-2136.15</v>
      </c>
      <c r="N183" s="1" t="s">
        <v>27</v>
      </c>
    </row>
    <row r="184" spans="1:14" s="1" customFormat="1" x14ac:dyDescent="0.25">
      <c r="A184" s="11" t="s">
        <v>175</v>
      </c>
      <c r="B184" s="3">
        <v>238</v>
      </c>
      <c r="C184" s="4">
        <v>43158</v>
      </c>
      <c r="D184" s="3" t="str">
        <f>"0000002583"</f>
        <v>0000002583</v>
      </c>
      <c r="E184" s="4">
        <v>43143</v>
      </c>
      <c r="F184" s="4">
        <v>43158</v>
      </c>
      <c r="G184" s="4">
        <v>43203</v>
      </c>
      <c r="H184" s="3" t="s">
        <v>14</v>
      </c>
      <c r="I184" s="3">
        <v>63.24</v>
      </c>
      <c r="J184" s="3">
        <v>11.4</v>
      </c>
      <c r="K184" s="3">
        <v>51.84</v>
      </c>
      <c r="L184" s="3">
        <f t="shared" si="8"/>
        <v>-45</v>
      </c>
      <c r="M184" s="12">
        <f t="shared" si="6"/>
        <v>-2332.8000000000002</v>
      </c>
      <c r="N184" s="1" t="s">
        <v>27</v>
      </c>
    </row>
    <row r="185" spans="1:14" s="1" customFormat="1" ht="30" x14ac:dyDescent="0.25">
      <c r="A185" s="11" t="s">
        <v>169</v>
      </c>
      <c r="B185" s="3">
        <v>349</v>
      </c>
      <c r="C185" s="4">
        <v>43176</v>
      </c>
      <c r="D185" s="3" t="s">
        <v>209</v>
      </c>
      <c r="E185" s="4">
        <v>43167</v>
      </c>
      <c r="F185" s="4">
        <v>43176</v>
      </c>
      <c r="G185" s="4">
        <v>43228</v>
      </c>
      <c r="H185" s="3" t="s">
        <v>14</v>
      </c>
      <c r="I185" s="3">
        <v>888</v>
      </c>
      <c r="J185" s="3">
        <v>0</v>
      </c>
      <c r="K185" s="3">
        <v>888</v>
      </c>
      <c r="L185" s="3">
        <f t="shared" si="8"/>
        <v>-52</v>
      </c>
      <c r="M185" s="12">
        <f t="shared" si="6"/>
        <v>-46176</v>
      </c>
      <c r="N185" s="1" t="s">
        <v>171</v>
      </c>
    </row>
    <row r="186" spans="1:14" s="1" customFormat="1" x14ac:dyDescent="0.25">
      <c r="A186" s="11" t="s">
        <v>13</v>
      </c>
      <c r="B186" s="3">
        <v>128</v>
      </c>
      <c r="C186" s="4">
        <v>43155</v>
      </c>
      <c r="D186" s="3" t="str">
        <f>"0350120160800144300"</f>
        <v>0350120160800144300</v>
      </c>
      <c r="E186" s="4">
        <v>42418</v>
      </c>
      <c r="F186" s="4">
        <v>43155</v>
      </c>
      <c r="G186" s="4">
        <v>43405</v>
      </c>
      <c r="H186" s="3" t="s">
        <v>14</v>
      </c>
      <c r="I186" s="3">
        <v>244.21</v>
      </c>
      <c r="J186" s="3">
        <v>22.2</v>
      </c>
      <c r="K186" s="3">
        <v>222.01</v>
      </c>
      <c r="L186" s="3">
        <f t="shared" si="8"/>
        <v>-250</v>
      </c>
      <c r="M186" s="12">
        <f t="shared" si="6"/>
        <v>-55502.5</v>
      </c>
      <c r="N186" s="1" t="s">
        <v>15</v>
      </c>
    </row>
    <row r="187" spans="1:14" s="1" customFormat="1" ht="19.5" thickBot="1" x14ac:dyDescent="0.3">
      <c r="A187" s="13" t="s">
        <v>210</v>
      </c>
      <c r="B187" s="14">
        <v>0</v>
      </c>
      <c r="C187" s="14"/>
      <c r="D187" s="14" t="s">
        <v>211</v>
      </c>
      <c r="E187" s="14"/>
      <c r="F187" s="14"/>
      <c r="G187" s="14"/>
      <c r="H187" s="14"/>
      <c r="I187" s="15">
        <v>304704.06</v>
      </c>
      <c r="J187" s="15">
        <v>43892.66</v>
      </c>
      <c r="K187" s="15">
        <f>SUM(K2:K186)</f>
        <v>260811.40000000008</v>
      </c>
      <c r="L187" s="17">
        <f>+M187/K187</f>
        <v>1.2219908332227882</v>
      </c>
      <c r="M187" s="16">
        <f>SUM(M2:M186)</f>
        <v>318709.14000000199</v>
      </c>
      <c r="N187" s="1" t="s">
        <v>212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L_RIT</vt:lpstr>
      <vt:lpstr>L_RIT!Titoli_stampa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Tomezzoli</dc:creator>
  <cp:lastModifiedBy>Nicola Tomezzoli</cp:lastModifiedBy>
  <cp:lastPrinted>2018-04-28T09:28:21Z</cp:lastPrinted>
  <dcterms:created xsi:type="dcterms:W3CDTF">2018-04-28T09:23:28Z</dcterms:created>
  <dcterms:modified xsi:type="dcterms:W3CDTF">2018-04-28T09:30:51Z</dcterms:modified>
</cp:coreProperties>
</file>