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PDC\AreaDoc\nicola-tomezzoli\2020\INDICATORE TEMPESTIVITA' DEI PAGAMENTI\IV Trimestre 2020\"/>
    </mc:Choice>
  </mc:AlternateContent>
  <xr:revisionPtr revIDLastSave="0" documentId="13_ncr:1_{A516CBD7-5B27-4E17-AF0F-E410F0BCBB9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_RIT" sheetId="1" r:id="rId1"/>
  </sheets>
  <definedNames>
    <definedName name="_xlnm.Print_Titles" localSheetId="0">L_RIT!$1:$1</definedName>
  </definedNames>
  <calcPr calcId="181029"/>
</workbook>
</file>

<file path=xl/calcChain.xml><?xml version="1.0" encoding="utf-8"?>
<calcChain xmlns="http://schemas.openxmlformats.org/spreadsheetml/2006/main">
  <c r="N416" i="1" l="1"/>
  <c r="O416" i="1"/>
  <c r="M416" i="1"/>
  <c r="L416" i="1"/>
  <c r="K416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2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4" i="1"/>
  <c r="D25" i="1"/>
  <c r="D26" i="1"/>
  <c r="D27" i="1"/>
  <c r="D28" i="1"/>
  <c r="D29" i="1"/>
  <c r="D30" i="1"/>
  <c r="D31" i="1"/>
  <c r="D33" i="1"/>
  <c r="D34" i="1"/>
  <c r="D35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6" i="1"/>
  <c r="D97" i="1"/>
  <c r="D98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2" i="1"/>
  <c r="D123" i="1"/>
  <c r="D126" i="1"/>
  <c r="D127" i="1"/>
  <c r="D128" i="1"/>
  <c r="D131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7" i="1"/>
  <c r="D188" i="1"/>
  <c r="D189" i="1"/>
  <c r="D193" i="1"/>
  <c r="D196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43" i="1"/>
  <c r="D248" i="1"/>
  <c r="D249" i="1"/>
  <c r="D253" i="1"/>
  <c r="D254" i="1"/>
  <c r="D255" i="1"/>
  <c r="D256" i="1"/>
  <c r="D257" i="1"/>
  <c r="D258" i="1"/>
  <c r="D259" i="1"/>
  <c r="D260" i="1"/>
  <c r="D261" i="1"/>
  <c r="D264" i="1"/>
  <c r="D265" i="1"/>
  <c r="D266" i="1"/>
  <c r="D267" i="1"/>
  <c r="D268" i="1"/>
  <c r="D269" i="1"/>
  <c r="D270" i="1"/>
  <c r="D277" i="1"/>
  <c r="D278" i="1"/>
  <c r="D279" i="1"/>
  <c r="D280" i="1"/>
  <c r="D281" i="1"/>
  <c r="D282" i="1"/>
  <c r="D283" i="1"/>
  <c r="D284" i="1"/>
  <c r="D285" i="1"/>
  <c r="D286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3" i="1"/>
  <c r="D314" i="1"/>
  <c r="D315" i="1"/>
  <c r="D316" i="1"/>
  <c r="D317" i="1"/>
  <c r="D318" i="1"/>
  <c r="D319" i="1"/>
  <c r="D320" i="1"/>
  <c r="D324" i="1"/>
  <c r="D325" i="1"/>
  <c r="D327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4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7" i="1"/>
  <c r="D378" i="1"/>
  <c r="D379" i="1"/>
  <c r="D380" i="1"/>
  <c r="D389" i="1"/>
  <c r="D390" i="1"/>
  <c r="D391" i="1"/>
  <c r="D395" i="1"/>
  <c r="D396" i="1"/>
  <c r="D398" i="1"/>
  <c r="D400" i="1"/>
  <c r="D402" i="1"/>
  <c r="D403" i="1"/>
  <c r="D404" i="1"/>
  <c r="D405" i="1"/>
  <c r="D406" i="1"/>
</calcChain>
</file>

<file path=xl/sharedStrings.xml><?xml version="1.0" encoding="utf-8"?>
<sst xmlns="http://schemas.openxmlformats.org/spreadsheetml/2006/main" count="1357" uniqueCount="225">
  <si>
    <t>Beneficiario</t>
  </si>
  <si>
    <t>Data mandato</t>
  </si>
  <si>
    <t>Num. fattura</t>
  </si>
  <si>
    <t>Data fattura</t>
  </si>
  <si>
    <t>Nr.bolletta .</t>
  </si>
  <si>
    <t>Nr.carta cont.</t>
  </si>
  <si>
    <t>Data pagamento</t>
  </si>
  <si>
    <t>Data scadenza</t>
  </si>
  <si>
    <t>Data rif.(#)</t>
  </si>
  <si>
    <t>Importo</t>
  </si>
  <si>
    <t>Iva split</t>
  </si>
  <si>
    <t>Netto</t>
  </si>
  <si>
    <t>GG diff.</t>
  </si>
  <si>
    <t>Prodotto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</si>
  <si>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</si>
  <si>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SICONTRAF S.R.L.</t>
  </si>
  <si>
    <t>164/PA</t>
  </si>
  <si>
    <t>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</si>
  <si>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</si>
  <si>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OFFICINE PICCOLI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</si>
  <si>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</si>
  <si>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EDILRETI S.N.C.DI GUERRINI GABRIELLA &amp; 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</si>
  <si>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</si>
  <si>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C.A.M.V.O.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</si>
  <si>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</si>
  <si>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ENEL ENERGIA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</si>
  <si>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</si>
  <si>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LADE s.r.l.</t>
  </si>
  <si>
    <t>0000028/PA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</si>
  <si>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</si>
  <si>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0000027/PA</t>
  </si>
  <si>
    <t>I.C.A. IMPOSTE COMUNALI AFFINI S.R.L.</t>
  </si>
  <si>
    <t>FE0006790</t>
  </si>
  <si>
    <t>SIVE S.R.L.</t>
  </si>
  <si>
    <t>C.S.A. COOPERATIVA SERVIZI ASSISTENZIALI SOC.COOP SOCIALE</t>
  </si>
  <si>
    <t>1238/13/2020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</si>
  <si>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</si>
  <si>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GRAFICHE E.GASPARI SRL</t>
  </si>
  <si>
    <t>18314/S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</si>
  <si>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</si>
  <si>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DELTA ENERGY S.R.L. U.S.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</si>
  <si>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</si>
  <si>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PROTEKO NORDEST SRL</t>
  </si>
  <si>
    <t>67/PA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</si>
  <si>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</si>
  <si>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STUDIO DI ARCHITETTURA ALBERTO SARTORI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</si>
  <si>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</si>
  <si>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CASA DI RIPOSO DI LEGNAGO</t>
  </si>
  <si>
    <t>84/E</t>
  </si>
  <si>
    <t>FE0005964</t>
  </si>
  <si>
    <t>0000030/PA</t>
  </si>
  <si>
    <t>DIREZ.PROV.PP.TT.-RAGIONER.PROV.MACCHINE AFFRANCATRICE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</si>
  <si>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</si>
  <si>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ENERGIE SOCIALI COOPERATIVA SOCIALE ONLUS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</si>
  <si>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</si>
  <si>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BIESSE S.N.C.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</si>
  <si>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</si>
  <si>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ACQUE VERONESI S.C.A.R.L.</t>
  </si>
  <si>
    <t>I.C.E.A.M. SRL</t>
  </si>
  <si>
    <t>2020   103/E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</si>
  <si>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</si>
  <si>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2020   104/E</t>
  </si>
  <si>
    <t>DOLOMITI ENERGIA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</si>
  <si>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</si>
  <si>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MUNICIPIA S.P.A.</t>
  </si>
  <si>
    <t>0000026/PA</t>
  </si>
  <si>
    <t>14209/S</t>
  </si>
  <si>
    <t>ELMA ASCENSORI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</si>
  <si>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</si>
  <si>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ELETTRO FLASH S.N.C. DI BALDASSARI GIANLUIGI E C</t>
  </si>
  <si>
    <t>2020    12/P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</si>
  <si>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</si>
  <si>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1402/13/2020</t>
  </si>
  <si>
    <t>TERMOIDRAULICA ZONZINI PIETRO SRL</t>
  </si>
  <si>
    <t>9/PA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</si>
  <si>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</si>
  <si>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A.N.U.S.C.A. SRL</t>
  </si>
  <si>
    <t>1047E</t>
  </si>
  <si>
    <t>AGRIVERDE</t>
  </si>
  <si>
    <t>6/PA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</si>
  <si>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</si>
  <si>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HYPERCOMNET SRL</t>
  </si>
  <si>
    <t>2020-SE403-0000032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</si>
  <si>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</si>
  <si>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2020    10/P</t>
  </si>
  <si>
    <t>48/PA</t>
  </si>
  <si>
    <t>47/PA</t>
  </si>
  <si>
    <t>POSTEL SPA</t>
  </si>
  <si>
    <t>DIONISI LEGNAMI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</si>
  <si>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</si>
  <si>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2020    92/E</t>
  </si>
  <si>
    <t>GOBBETTI FEDERICO</t>
  </si>
  <si>
    <t>41/001</t>
  </si>
  <si>
    <t>LORENZETTI LINDA</t>
  </si>
  <si>
    <t>1/PA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</si>
  <si>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</si>
  <si>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ELEKTRIS DI MARTINI TIZIANO</t>
  </si>
  <si>
    <t>7/PA</t>
  </si>
  <si>
    <t>IMPRESA EDILE DEGANI GIANNI</t>
  </si>
  <si>
    <t>3 PA</t>
  </si>
  <si>
    <t>ROCCHI COPERTURE SRL</t>
  </si>
  <si>
    <t>PA04</t>
  </si>
  <si>
    <t>PA03</t>
  </si>
  <si>
    <t>PA05</t>
  </si>
  <si>
    <t>FONDAZIONE GIOVANNI MERITANI</t>
  </si>
  <si>
    <t>91/E</t>
  </si>
  <si>
    <t>92/E</t>
  </si>
  <si>
    <t>FERRO SRL</t>
  </si>
  <si>
    <t>FE0007499</t>
  </si>
  <si>
    <t>16014/S</t>
  </si>
  <si>
    <t>PUBLIMULTIMEDIA SNC DI VOI FEDERICO &amp; C.</t>
  </si>
  <si>
    <t>2/ 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</si>
  <si>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</si>
  <si>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1/ PA</t>
  </si>
  <si>
    <t>3/ PA</t>
  </si>
  <si>
    <t>GLOBAL POWER SERVICE SPA</t>
  </si>
  <si>
    <t>2020-V5-195</t>
  </si>
  <si>
    <t>AZIENDA U.L.S.S. 09 SCALIGERA</t>
  </si>
  <si>
    <t>214/130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</si>
  <si>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</si>
  <si>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EASY SERVER SRL</t>
  </si>
  <si>
    <t>IT  000201</t>
  </si>
  <si>
    <t>MAINENTE COSTRUZIONI S.R.L.</t>
  </si>
  <si>
    <t>2020    50/P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</si>
  <si>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</si>
  <si>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FERRARI MARCO</t>
  </si>
  <si>
    <t>46E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</si>
  <si>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</si>
  <si>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2020-V5-239</t>
  </si>
  <si>
    <t>KYOCERA DOCUMENT SOLUTIONS ITALIA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</si>
  <si>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</si>
  <si>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101/E</t>
  </si>
  <si>
    <t>244/53</t>
  </si>
  <si>
    <t>IT  000202</t>
  </si>
  <si>
    <t>WELCOME ITALIA SPA</t>
  </si>
  <si>
    <t>MONDADORI RETAILS SPA</t>
  </si>
  <si>
    <t>0000029/PA</t>
  </si>
  <si>
    <t>18232/S</t>
  </si>
  <si>
    <t>SAV CONSULENZA &amp; MARKETING S.R.L.</t>
  </si>
  <si>
    <t>1592/13/2020</t>
  </si>
  <si>
    <t>2020   117/E</t>
  </si>
  <si>
    <t>2020-V5-216</t>
  </si>
  <si>
    <t>ANTICIMEX SRL</t>
  </si>
  <si>
    <t>1773PA</t>
  </si>
  <si>
    <t>15/PA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</si>
  <si>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</si>
  <si>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SGANZERLA ZOILO</t>
  </si>
  <si>
    <t>16E</t>
  </si>
  <si>
    <t>4/ PA</t>
  </si>
  <si>
    <t>109/E</t>
  </si>
  <si>
    <t>BEBOSERVICE DI LUPPI ALBERTO</t>
  </si>
  <si>
    <t>PA0000017</t>
  </si>
  <si>
    <t>O.M.A.V. SAS DI MARIOTTO ARSENIO E C.</t>
  </si>
  <si>
    <t>36 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</si>
  <si>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</si>
  <si>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ACCATRE S.R.L.</t>
  </si>
  <si>
    <t>200811/1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</si>
  <si>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</si>
  <si>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M.G.R. DI ALEX MALAGUTI AND C. SAS</t>
  </si>
  <si>
    <t>9S</t>
  </si>
  <si>
    <t>ECOTRAFFIC S.R.L.</t>
  </si>
  <si>
    <t>VEN/2242</t>
  </si>
  <si>
    <t>SANITARIA SERVIZI AMBIENTALI SRL</t>
  </si>
  <si>
    <t>000431/PA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</si>
  <si>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</si>
  <si>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000432/PA</t>
  </si>
  <si>
    <t>MAGGIOLI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</si>
  <si>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</si>
  <si>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LIBRERIA GIUNTI AL PUNTO</t>
  </si>
  <si>
    <t>AUTOFFICINA SGANZERLA MAURIZIO</t>
  </si>
  <si>
    <t>CONSORZIO EUROBUS VERONA SOC. COOP.</t>
  </si>
  <si>
    <t>486/FE</t>
  </si>
  <si>
    <t>IL PONTE SOCIETA' COOPERATIVA SOCIALE O.N.L.U.S.</t>
  </si>
  <si>
    <t>2020   120/E</t>
  </si>
  <si>
    <t>Sodexo Italia S.p.A.</t>
  </si>
  <si>
    <t>ITLINE 83 SRL</t>
  </si>
  <si>
    <t>18/2020</t>
  </si>
  <si>
    <t>34 PA</t>
  </si>
  <si>
    <t>2020   150/E</t>
  </si>
  <si>
    <t>QUIEDIT EDITORIA E FORMAZIONE</t>
  </si>
  <si>
    <t>5/PA</t>
  </si>
  <si>
    <t>659/FE</t>
  </si>
  <si>
    <t>COMUNICAZIONI D'AUTORE COPPARI MARIA FIORENZA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</si>
  <si>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</si>
  <si>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2020   137/E</t>
  </si>
  <si>
    <t>CONSORZIO ENERGIA VENETO</t>
  </si>
  <si>
    <t>1207-2020-01</t>
  </si>
  <si>
    <t>1250-2020-01</t>
  </si>
  <si>
    <t>1174-2020-01</t>
  </si>
  <si>
    <t>M.D.L. SNC DI ANDREOLI &amp;.MURAROLI</t>
  </si>
  <si>
    <t>22A/PA</t>
  </si>
  <si>
    <t>FONDAZIONE MADONNA DI LOURDES ONLUS</t>
  </si>
  <si>
    <t>3/120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</si>
  <si>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</si>
  <si>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561/FE</t>
  </si>
  <si>
    <t>ASSOCIAZIONE PRO LOCO `LE CONTRA'`</t>
  </si>
  <si>
    <t>4/FE</t>
  </si>
  <si>
    <t>LIBRERIA JOLLY DEL LIBRO</t>
  </si>
  <si>
    <t>HALLEY VENETO S.R.L.</t>
  </si>
  <si>
    <t>1/201181</t>
  </si>
  <si>
    <t>5/FE</t>
  </si>
  <si>
    <t>VERDEARANCIO SOCIETA'COOPERATIVA SOCIALE -ONLUS</t>
  </si>
  <si>
    <t>39/PA/2020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</si>
  <si>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</si>
  <si>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LEGGERE SRL</t>
  </si>
  <si>
    <t>43/2020/PA</t>
  </si>
  <si>
    <t>37/2020/PA</t>
  </si>
  <si>
    <t>1/201108</t>
  </si>
  <si>
    <t>STUDIO RICERCA S.a.s. di De Grandis Lauro &amp; C.</t>
  </si>
  <si>
    <t>P0000000008</t>
  </si>
  <si>
    <t>ADDICALCO LOGISTICA SRL</t>
  </si>
  <si>
    <t>927/00002</t>
  </si>
  <si>
    <t>36A/PA</t>
  </si>
  <si>
    <t>41A/PA</t>
  </si>
  <si>
    <t>1/201218</t>
  </si>
  <si>
    <t>684/FE</t>
  </si>
  <si>
    <t>ELETTROTECNICA S.R.L.</t>
  </si>
  <si>
    <t>2034/V1</t>
  </si>
  <si>
    <t>511/FE</t>
  </si>
  <si>
    <t>EVENTI SICURI DI STEFANO GOBBI</t>
  </si>
  <si>
    <t>FPA 2/20</t>
  </si>
  <si>
    <t>* RISULTATO 4o TRIMESTRE *</t>
  </si>
  <si>
    <t>***************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</si>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</sst>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14" fontId="18" fillId="0" borderId="10" xfId="0" applyNumberFormat="1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2" fontId="19" fillId="0" borderId="10" xfId="0" applyNumberFormat="1" applyFont="1" applyBorder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6"/>
  <sheetViews>
    <sheetView tabSelected="1" workbookViewId="0">
      <pane ySplit="1" topLeftCell="A2" activePane="bottomLeft" state="frozen"/>
      <selection pane="bottomLeft" activeCell="S23" sqref="S23"/>
    </sheetView>
  </sheetViews>
  <sheetFormatPr defaultRowHeight="12" x14ac:dyDescent="0.25"/>
  <cols>
    <col min="1" max="1" width="28.85546875" style="1" customWidth="1"/>
    <col min="2" max="2" width="5.85546875" style="1" bestFit="1" customWidth="1"/>
    <col min="3" max="3" width="9.28515625" style="1" hidden="1" customWidth="1"/>
    <col min="4" max="4" width="12.5703125" style="1" customWidth="1"/>
    <col min="5" max="5" width="9.28515625" style="1" bestFit="1" customWidth="1"/>
    <col min="6" max="7" width="9.28515625" style="1" hidden="1" customWidth="1"/>
    <col min="8" max="8" width="10.5703125" style="1" customWidth="1"/>
    <col min="9" max="9" width="9.28515625" style="1" bestFit="1" customWidth="1"/>
    <col min="10" max="10" width="5.85546875" style="1" customWidth="1"/>
    <col min="11" max="11" width="8.7109375" style="1" bestFit="1" customWidth="1"/>
    <col min="12" max="12" width="7.85546875" style="1" bestFit="1" customWidth="1"/>
    <col min="13" max="13" width="8.7109375" style="1" bestFit="1" customWidth="1"/>
    <col min="14" max="14" width="6.85546875" style="1" bestFit="1" customWidth="1"/>
    <col min="15" max="15" width="11.42578125" style="1" bestFit="1" customWidth="1"/>
    <col min="16" max="16384" width="9.140625" style="1"/>
  </cols>
  <sheetData>
    <row r="1" spans="1:18" ht="24" x14ac:dyDescent="0.25">
      <c r="A1" s="2" t="s">
        <v>0</v>
      </c>
      <c r="B1" s="2" t="s">
        <v>224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R1" s="1" t="s">
        <v>14</v>
      </c>
    </row>
    <row r="2" spans="1:18" x14ac:dyDescent="0.25">
      <c r="A2" s="2" t="s">
        <v>15</v>
      </c>
      <c r="B2" s="2">
        <v>1857</v>
      </c>
      <c r="C2" s="3">
        <v>44149</v>
      </c>
      <c r="D2" s="2" t="s">
        <v>16</v>
      </c>
      <c r="E2" s="3">
        <v>44043</v>
      </c>
      <c r="F2" s="2">
        <v>0</v>
      </c>
      <c r="G2" s="2">
        <v>0</v>
      </c>
      <c r="H2" s="3">
        <v>44149</v>
      </c>
      <c r="I2" s="3">
        <v>44079</v>
      </c>
      <c r="J2" s="2" t="s">
        <v>17</v>
      </c>
      <c r="K2" s="2">
        <v>695.4</v>
      </c>
      <c r="L2" s="2">
        <v>125.4</v>
      </c>
      <c r="M2" s="2">
        <v>570</v>
      </c>
      <c r="N2" s="2">
        <v>70</v>
      </c>
      <c r="O2" s="4">
        <f>+M2*N2</f>
        <v>39900</v>
      </c>
      <c r="R2" s="1" t="s">
        <v>18</v>
      </c>
    </row>
    <row r="3" spans="1:18" x14ac:dyDescent="0.25">
      <c r="A3" s="2" t="s">
        <v>19</v>
      </c>
      <c r="B3" s="2">
        <v>2005</v>
      </c>
      <c r="C3" s="3">
        <v>44163</v>
      </c>
      <c r="D3" s="2" t="str">
        <f>"1373"</f>
        <v>1373</v>
      </c>
      <c r="E3" s="3">
        <v>44116</v>
      </c>
      <c r="F3" s="2">
        <v>0</v>
      </c>
      <c r="G3" s="2">
        <v>0</v>
      </c>
      <c r="H3" s="3">
        <v>44163</v>
      </c>
      <c r="I3" s="3">
        <v>44147</v>
      </c>
      <c r="J3" s="2" t="s">
        <v>17</v>
      </c>
      <c r="K3" s="4">
        <v>1033.95</v>
      </c>
      <c r="L3" s="2">
        <v>186.45</v>
      </c>
      <c r="M3" s="2">
        <v>847.5</v>
      </c>
      <c r="N3" s="2">
        <v>16</v>
      </c>
      <c r="O3" s="4">
        <f t="shared" ref="O3:O66" si="0">+M3*N3</f>
        <v>13560</v>
      </c>
      <c r="R3" s="1" t="s">
        <v>20</v>
      </c>
    </row>
    <row r="4" spans="1:18" ht="24" x14ac:dyDescent="0.25">
      <c r="A4" s="2" t="s">
        <v>21</v>
      </c>
      <c r="B4" s="2">
        <v>1643</v>
      </c>
      <c r="C4" s="3">
        <v>44113</v>
      </c>
      <c r="D4" s="2" t="str">
        <f>"328"</f>
        <v>328</v>
      </c>
      <c r="E4" s="3">
        <v>44043</v>
      </c>
      <c r="F4" s="2">
        <v>0</v>
      </c>
      <c r="G4" s="2">
        <v>0</v>
      </c>
      <c r="H4" s="3">
        <v>44114</v>
      </c>
      <c r="I4" s="3">
        <v>44106</v>
      </c>
      <c r="J4" s="2" t="s">
        <v>17</v>
      </c>
      <c r="K4" s="4">
        <v>2543.41</v>
      </c>
      <c r="L4" s="2">
        <v>458.65</v>
      </c>
      <c r="M4" s="4">
        <v>2084.7600000000002</v>
      </c>
      <c r="N4" s="2">
        <v>8</v>
      </c>
      <c r="O4" s="4">
        <f t="shared" si="0"/>
        <v>16678.080000000002</v>
      </c>
      <c r="R4" s="1" t="s">
        <v>22</v>
      </c>
    </row>
    <row r="5" spans="1:18" x14ac:dyDescent="0.25">
      <c r="A5" s="2" t="s">
        <v>23</v>
      </c>
      <c r="B5" s="2">
        <v>1618</v>
      </c>
      <c r="C5" s="3">
        <v>44113</v>
      </c>
      <c r="D5" s="2" t="str">
        <f>"20185"</f>
        <v>20185</v>
      </c>
      <c r="E5" s="3">
        <v>44083</v>
      </c>
      <c r="F5" s="2">
        <v>0</v>
      </c>
      <c r="G5" s="2">
        <v>0</v>
      </c>
      <c r="H5" s="3">
        <v>44114</v>
      </c>
      <c r="I5" s="3">
        <v>44113</v>
      </c>
      <c r="J5" s="2" t="s">
        <v>17</v>
      </c>
      <c r="K5" s="4">
        <v>1026.73</v>
      </c>
      <c r="L5" s="2">
        <v>185.15</v>
      </c>
      <c r="M5" s="2">
        <v>841.58</v>
      </c>
      <c r="N5" s="2">
        <v>1</v>
      </c>
      <c r="O5" s="4">
        <f t="shared" si="0"/>
        <v>841.58</v>
      </c>
      <c r="R5" s="1" t="s">
        <v>24</v>
      </c>
    </row>
    <row r="6" spans="1:18" x14ac:dyDescent="0.25">
      <c r="A6" s="2" t="s">
        <v>25</v>
      </c>
      <c r="B6" s="2">
        <v>1639</v>
      </c>
      <c r="C6" s="3">
        <v>44113</v>
      </c>
      <c r="D6" s="2" t="str">
        <f>"004059559981"</f>
        <v>004059559981</v>
      </c>
      <c r="E6" s="3">
        <v>44082</v>
      </c>
      <c r="F6" s="2">
        <v>0</v>
      </c>
      <c r="G6" s="2">
        <v>0</v>
      </c>
      <c r="H6" s="3">
        <v>44114</v>
      </c>
      <c r="I6" s="3">
        <v>44114</v>
      </c>
      <c r="J6" s="2" t="s">
        <v>17</v>
      </c>
      <c r="K6" s="2">
        <v>9.0399999999999991</v>
      </c>
      <c r="L6" s="2">
        <v>1.63</v>
      </c>
      <c r="M6" s="2">
        <v>7.41</v>
      </c>
      <c r="N6" s="2">
        <v>0</v>
      </c>
      <c r="O6" s="4">
        <f t="shared" si="0"/>
        <v>0</v>
      </c>
      <c r="R6" s="1" t="s">
        <v>26</v>
      </c>
    </row>
    <row r="7" spans="1:18" x14ac:dyDescent="0.25">
      <c r="A7" s="2" t="s">
        <v>25</v>
      </c>
      <c r="B7" s="2">
        <v>1639</v>
      </c>
      <c r="C7" s="3">
        <v>44113</v>
      </c>
      <c r="D7" s="2" t="str">
        <f>"004057463403"</f>
        <v>004057463403</v>
      </c>
      <c r="E7" s="3">
        <v>44079</v>
      </c>
      <c r="F7" s="2">
        <v>0</v>
      </c>
      <c r="G7" s="2">
        <v>0</v>
      </c>
      <c r="H7" s="3">
        <v>44114</v>
      </c>
      <c r="I7" s="3">
        <v>44116</v>
      </c>
      <c r="J7" s="2" t="s">
        <v>17</v>
      </c>
      <c r="K7" s="2">
        <v>38.159999999999997</v>
      </c>
      <c r="L7" s="2">
        <v>6.88</v>
      </c>
      <c r="M7" s="2">
        <v>31.28</v>
      </c>
      <c r="N7" s="2">
        <v>-2</v>
      </c>
      <c r="O7" s="4">
        <f t="shared" si="0"/>
        <v>-62.56</v>
      </c>
      <c r="R7" s="1" t="s">
        <v>26</v>
      </c>
    </row>
    <row r="8" spans="1:18" x14ac:dyDescent="0.25">
      <c r="A8" s="2" t="s">
        <v>25</v>
      </c>
      <c r="B8" s="2">
        <v>1638</v>
      </c>
      <c r="C8" s="3">
        <v>44113</v>
      </c>
      <c r="D8" s="2" t="str">
        <f>"004057463398"</f>
        <v>004057463398</v>
      </c>
      <c r="E8" s="3">
        <v>44079</v>
      </c>
      <c r="F8" s="2">
        <v>0</v>
      </c>
      <c r="G8" s="2">
        <v>0</v>
      </c>
      <c r="H8" s="3">
        <v>44114</v>
      </c>
      <c r="I8" s="3">
        <v>44116</v>
      </c>
      <c r="J8" s="2" t="s">
        <v>17</v>
      </c>
      <c r="K8" s="2">
        <v>82.74</v>
      </c>
      <c r="L8" s="2">
        <v>14.92</v>
      </c>
      <c r="M8" s="2">
        <v>67.819999999999993</v>
      </c>
      <c r="N8" s="2">
        <v>-2</v>
      </c>
      <c r="O8" s="4">
        <f t="shared" si="0"/>
        <v>-135.63999999999999</v>
      </c>
      <c r="R8" s="1" t="s">
        <v>26</v>
      </c>
    </row>
    <row r="9" spans="1:18" x14ac:dyDescent="0.25">
      <c r="A9" s="2" t="s">
        <v>25</v>
      </c>
      <c r="B9" s="2">
        <v>1638</v>
      </c>
      <c r="C9" s="3">
        <v>44113</v>
      </c>
      <c r="D9" s="2" t="str">
        <f>"004057463409"</f>
        <v>004057463409</v>
      </c>
      <c r="E9" s="3">
        <v>44079</v>
      </c>
      <c r="F9" s="2">
        <v>0</v>
      </c>
      <c r="G9" s="2">
        <v>0</v>
      </c>
      <c r="H9" s="3">
        <v>44114</v>
      </c>
      <c r="I9" s="3">
        <v>44116</v>
      </c>
      <c r="J9" s="2" t="s">
        <v>17</v>
      </c>
      <c r="K9" s="2">
        <v>17.93</v>
      </c>
      <c r="L9" s="2">
        <v>3.23</v>
      </c>
      <c r="M9" s="2">
        <v>14.7</v>
      </c>
      <c r="N9" s="2">
        <v>-2</v>
      </c>
      <c r="O9" s="4">
        <f t="shared" si="0"/>
        <v>-29.4</v>
      </c>
      <c r="R9" s="1" t="s">
        <v>26</v>
      </c>
    </row>
    <row r="10" spans="1:18" x14ac:dyDescent="0.25">
      <c r="A10" s="2" t="s">
        <v>25</v>
      </c>
      <c r="B10" s="2">
        <v>1625</v>
      </c>
      <c r="C10" s="3">
        <v>44113</v>
      </c>
      <c r="D10" s="2" t="str">
        <f>"004057463397"</f>
        <v>004057463397</v>
      </c>
      <c r="E10" s="3">
        <v>44079</v>
      </c>
      <c r="F10" s="2">
        <v>0</v>
      </c>
      <c r="G10" s="2">
        <v>0</v>
      </c>
      <c r="H10" s="3">
        <v>44114</v>
      </c>
      <c r="I10" s="3">
        <v>44116</v>
      </c>
      <c r="J10" s="2" t="s">
        <v>17</v>
      </c>
      <c r="K10" s="2">
        <v>3.22</v>
      </c>
      <c r="L10" s="2">
        <v>0.57999999999999996</v>
      </c>
      <c r="M10" s="2">
        <v>2.64</v>
      </c>
      <c r="N10" s="2">
        <v>-2</v>
      </c>
      <c r="O10" s="4">
        <f t="shared" si="0"/>
        <v>-5.28</v>
      </c>
      <c r="R10" s="1" t="s">
        <v>26</v>
      </c>
    </row>
    <row r="11" spans="1:18" x14ac:dyDescent="0.25">
      <c r="A11" s="2" t="s">
        <v>25</v>
      </c>
      <c r="B11" s="2">
        <v>1638</v>
      </c>
      <c r="C11" s="3">
        <v>44113</v>
      </c>
      <c r="D11" s="2" t="str">
        <f>"004057463410"</f>
        <v>004057463410</v>
      </c>
      <c r="E11" s="3">
        <v>44079</v>
      </c>
      <c r="F11" s="2">
        <v>0</v>
      </c>
      <c r="G11" s="2">
        <v>0</v>
      </c>
      <c r="H11" s="3">
        <v>44114</v>
      </c>
      <c r="I11" s="3">
        <v>44116</v>
      </c>
      <c r="J11" s="2" t="s">
        <v>17</v>
      </c>
      <c r="K11" s="2">
        <v>49.72</v>
      </c>
      <c r="L11" s="2">
        <v>8.9700000000000006</v>
      </c>
      <c r="M11" s="2">
        <v>40.75</v>
      </c>
      <c r="N11" s="2">
        <v>-2</v>
      </c>
      <c r="O11" s="4">
        <f t="shared" si="0"/>
        <v>-81.5</v>
      </c>
      <c r="R11" s="1" t="s">
        <v>26</v>
      </c>
    </row>
    <row r="12" spans="1:18" x14ac:dyDescent="0.25">
      <c r="A12" s="2" t="s">
        <v>25</v>
      </c>
      <c r="B12" s="2">
        <v>1638</v>
      </c>
      <c r="C12" s="3">
        <v>44113</v>
      </c>
      <c r="D12" s="2" t="str">
        <f>"004057463407"</f>
        <v>004057463407</v>
      </c>
      <c r="E12" s="3">
        <v>44079</v>
      </c>
      <c r="F12" s="2">
        <v>0</v>
      </c>
      <c r="G12" s="2">
        <v>0</v>
      </c>
      <c r="H12" s="3">
        <v>44114</v>
      </c>
      <c r="I12" s="3">
        <v>44116</v>
      </c>
      <c r="J12" s="2" t="s">
        <v>17</v>
      </c>
      <c r="K12" s="2">
        <v>17.010000000000002</v>
      </c>
      <c r="L12" s="2">
        <v>3.07</v>
      </c>
      <c r="M12" s="2">
        <v>13.94</v>
      </c>
      <c r="N12" s="2">
        <v>-2</v>
      </c>
      <c r="O12" s="4">
        <f t="shared" si="0"/>
        <v>-27.88</v>
      </c>
      <c r="R12" s="1" t="s">
        <v>26</v>
      </c>
    </row>
    <row r="13" spans="1:18" x14ac:dyDescent="0.25">
      <c r="A13" s="2" t="s">
        <v>25</v>
      </c>
      <c r="B13" s="2">
        <v>1638</v>
      </c>
      <c r="C13" s="3">
        <v>44113</v>
      </c>
      <c r="D13" s="2" t="str">
        <f>"004057463401"</f>
        <v>004057463401</v>
      </c>
      <c r="E13" s="3">
        <v>44079</v>
      </c>
      <c r="F13" s="2">
        <v>0</v>
      </c>
      <c r="G13" s="2">
        <v>0</v>
      </c>
      <c r="H13" s="3">
        <v>44114</v>
      </c>
      <c r="I13" s="3">
        <v>44116</v>
      </c>
      <c r="J13" s="2" t="s">
        <v>17</v>
      </c>
      <c r="K13" s="2">
        <v>1.39</v>
      </c>
      <c r="L13" s="2">
        <v>0.25</v>
      </c>
      <c r="M13" s="2">
        <v>1.1399999999999999</v>
      </c>
      <c r="N13" s="2">
        <v>-2</v>
      </c>
      <c r="O13" s="4">
        <f t="shared" si="0"/>
        <v>-2.2799999999999998</v>
      </c>
      <c r="R13" s="1" t="s">
        <v>26</v>
      </c>
    </row>
    <row r="14" spans="1:18" x14ac:dyDescent="0.25">
      <c r="A14" s="2" t="s">
        <v>25</v>
      </c>
      <c r="B14" s="2">
        <v>1638</v>
      </c>
      <c r="C14" s="3">
        <v>44113</v>
      </c>
      <c r="D14" s="2" t="str">
        <f>"004057463405"</f>
        <v>004057463405</v>
      </c>
      <c r="E14" s="3">
        <v>44079</v>
      </c>
      <c r="F14" s="2">
        <v>0</v>
      </c>
      <c r="G14" s="2">
        <v>0</v>
      </c>
      <c r="H14" s="3">
        <v>44114</v>
      </c>
      <c r="I14" s="3">
        <v>44116</v>
      </c>
      <c r="J14" s="2" t="s">
        <v>17</v>
      </c>
      <c r="K14" s="2">
        <v>35.33</v>
      </c>
      <c r="L14" s="2">
        <v>6.37</v>
      </c>
      <c r="M14" s="2">
        <v>28.96</v>
      </c>
      <c r="N14" s="2">
        <v>-2</v>
      </c>
      <c r="O14" s="4">
        <f t="shared" si="0"/>
        <v>-57.92</v>
      </c>
      <c r="R14" s="1" t="s">
        <v>26</v>
      </c>
    </row>
    <row r="15" spans="1:18" x14ac:dyDescent="0.25">
      <c r="A15" s="2" t="s">
        <v>25</v>
      </c>
      <c r="B15" s="2">
        <v>1638</v>
      </c>
      <c r="C15" s="3">
        <v>44113</v>
      </c>
      <c r="D15" s="2" t="str">
        <f>"004058804784"</f>
        <v>004058804784</v>
      </c>
      <c r="E15" s="3">
        <v>44081</v>
      </c>
      <c r="F15" s="2">
        <v>0</v>
      </c>
      <c r="G15" s="2">
        <v>0</v>
      </c>
      <c r="H15" s="3">
        <v>44114</v>
      </c>
      <c r="I15" s="3">
        <v>44116</v>
      </c>
      <c r="J15" s="2" t="s">
        <v>17</v>
      </c>
      <c r="K15" s="2">
        <v>160.80000000000001</v>
      </c>
      <c r="L15" s="2">
        <v>29</v>
      </c>
      <c r="M15" s="2">
        <v>131.80000000000001</v>
      </c>
      <c r="N15" s="2">
        <v>-2</v>
      </c>
      <c r="O15" s="4">
        <f t="shared" si="0"/>
        <v>-263.60000000000002</v>
      </c>
      <c r="R15" s="1" t="s">
        <v>26</v>
      </c>
    </row>
    <row r="16" spans="1:18" x14ac:dyDescent="0.25">
      <c r="A16" s="2" t="s">
        <v>25</v>
      </c>
      <c r="B16" s="2">
        <v>1638</v>
      </c>
      <c r="C16" s="3">
        <v>44113</v>
      </c>
      <c r="D16" s="2" t="str">
        <f>"004058804785"</f>
        <v>004058804785</v>
      </c>
      <c r="E16" s="3">
        <v>44081</v>
      </c>
      <c r="F16" s="2">
        <v>0</v>
      </c>
      <c r="G16" s="2">
        <v>0</v>
      </c>
      <c r="H16" s="3">
        <v>44114</v>
      </c>
      <c r="I16" s="3">
        <v>44116</v>
      </c>
      <c r="J16" s="2" t="s">
        <v>17</v>
      </c>
      <c r="K16" s="2">
        <v>146.74</v>
      </c>
      <c r="L16" s="2">
        <v>26.46</v>
      </c>
      <c r="M16" s="2">
        <v>120.28</v>
      </c>
      <c r="N16" s="2">
        <v>-2</v>
      </c>
      <c r="O16" s="4">
        <f t="shared" si="0"/>
        <v>-240.56</v>
      </c>
      <c r="R16" s="1" t="s">
        <v>26</v>
      </c>
    </row>
    <row r="17" spans="1:18" x14ac:dyDescent="0.25">
      <c r="A17" s="2" t="s">
        <v>25</v>
      </c>
      <c r="B17" s="2">
        <v>1638</v>
      </c>
      <c r="C17" s="3">
        <v>44113</v>
      </c>
      <c r="D17" s="2" t="str">
        <f>"004057830460"</f>
        <v>004057830460</v>
      </c>
      <c r="E17" s="3">
        <v>44080</v>
      </c>
      <c r="F17" s="2">
        <v>0</v>
      </c>
      <c r="G17" s="2">
        <v>0</v>
      </c>
      <c r="H17" s="3">
        <v>44114</v>
      </c>
      <c r="I17" s="3">
        <v>44116</v>
      </c>
      <c r="J17" s="2" t="s">
        <v>17</v>
      </c>
      <c r="K17" s="2">
        <v>130.32</v>
      </c>
      <c r="L17" s="2">
        <v>23.5</v>
      </c>
      <c r="M17" s="2">
        <v>106.82</v>
      </c>
      <c r="N17" s="2">
        <v>-2</v>
      </c>
      <c r="O17" s="4">
        <f t="shared" si="0"/>
        <v>-213.64</v>
      </c>
      <c r="R17" s="1" t="s">
        <v>26</v>
      </c>
    </row>
    <row r="18" spans="1:18" x14ac:dyDescent="0.25">
      <c r="A18" s="2" t="s">
        <v>25</v>
      </c>
      <c r="B18" s="2">
        <v>1632</v>
      </c>
      <c r="C18" s="3">
        <v>44113</v>
      </c>
      <c r="D18" s="2" t="str">
        <f>"004059559985"</f>
        <v>004059559985</v>
      </c>
      <c r="E18" s="3">
        <v>44082</v>
      </c>
      <c r="F18" s="2">
        <v>0</v>
      </c>
      <c r="G18" s="2">
        <v>0</v>
      </c>
      <c r="H18" s="3">
        <v>44114</v>
      </c>
      <c r="I18" s="3">
        <v>44117</v>
      </c>
      <c r="J18" s="2" t="s">
        <v>17</v>
      </c>
      <c r="K18" s="2">
        <v>115.53</v>
      </c>
      <c r="L18" s="2">
        <v>20.83</v>
      </c>
      <c r="M18" s="2">
        <v>94.7</v>
      </c>
      <c r="N18" s="2">
        <v>-3</v>
      </c>
      <c r="O18" s="4">
        <f t="shared" si="0"/>
        <v>-284.10000000000002</v>
      </c>
      <c r="R18" s="1" t="s">
        <v>26</v>
      </c>
    </row>
    <row r="19" spans="1:18" x14ac:dyDescent="0.25">
      <c r="A19" s="2" t="s">
        <v>25</v>
      </c>
      <c r="B19" s="2">
        <v>1639</v>
      </c>
      <c r="C19" s="3">
        <v>44113</v>
      </c>
      <c r="D19" s="2" t="str">
        <f>"004059559978"</f>
        <v>004059559978</v>
      </c>
      <c r="E19" s="3">
        <v>44082</v>
      </c>
      <c r="F19" s="2">
        <v>0</v>
      </c>
      <c r="G19" s="2">
        <v>0</v>
      </c>
      <c r="H19" s="3">
        <v>44114</v>
      </c>
      <c r="I19" s="3">
        <v>44117</v>
      </c>
      <c r="J19" s="2" t="s">
        <v>17</v>
      </c>
      <c r="K19" s="2">
        <v>118.63</v>
      </c>
      <c r="L19" s="2">
        <v>21.39</v>
      </c>
      <c r="M19" s="2">
        <v>97.24</v>
      </c>
      <c r="N19" s="2">
        <v>-3</v>
      </c>
      <c r="O19" s="4">
        <f t="shared" si="0"/>
        <v>-291.71999999999997</v>
      </c>
      <c r="R19" s="1" t="s">
        <v>26</v>
      </c>
    </row>
    <row r="20" spans="1:18" x14ac:dyDescent="0.25">
      <c r="A20" s="2" t="s">
        <v>25</v>
      </c>
      <c r="B20" s="2">
        <v>1613</v>
      </c>
      <c r="C20" s="3">
        <v>44113</v>
      </c>
      <c r="D20" s="2" t="str">
        <f>"004059559983"</f>
        <v>004059559983</v>
      </c>
      <c r="E20" s="3">
        <v>44082</v>
      </c>
      <c r="F20" s="2">
        <v>0</v>
      </c>
      <c r="G20" s="2">
        <v>0</v>
      </c>
      <c r="H20" s="3">
        <v>44114</v>
      </c>
      <c r="I20" s="3">
        <v>44117</v>
      </c>
      <c r="J20" s="2" t="s">
        <v>17</v>
      </c>
      <c r="K20" s="2">
        <v>554.11</v>
      </c>
      <c r="L20" s="2">
        <v>99.92</v>
      </c>
      <c r="M20" s="2">
        <v>454.19</v>
      </c>
      <c r="N20" s="2">
        <v>-3</v>
      </c>
      <c r="O20" s="4">
        <f t="shared" si="0"/>
        <v>-1362.57</v>
      </c>
      <c r="R20" s="1" t="s">
        <v>26</v>
      </c>
    </row>
    <row r="21" spans="1:18" x14ac:dyDescent="0.25">
      <c r="A21" s="2" t="s">
        <v>25</v>
      </c>
      <c r="B21" s="2">
        <v>1639</v>
      </c>
      <c r="C21" s="3">
        <v>44113</v>
      </c>
      <c r="D21" s="2" t="str">
        <f>"004060983170"</f>
        <v>004060983170</v>
      </c>
      <c r="E21" s="3">
        <v>44083</v>
      </c>
      <c r="F21" s="2">
        <v>0</v>
      </c>
      <c r="G21" s="2">
        <v>0</v>
      </c>
      <c r="H21" s="3">
        <v>44114</v>
      </c>
      <c r="I21" s="3">
        <v>44118</v>
      </c>
      <c r="J21" s="2" t="s">
        <v>17</v>
      </c>
      <c r="K21" s="2">
        <v>11.07</v>
      </c>
      <c r="L21" s="2">
        <v>2</v>
      </c>
      <c r="M21" s="2">
        <v>9.07</v>
      </c>
      <c r="N21" s="2">
        <v>-4</v>
      </c>
      <c r="O21" s="4">
        <f t="shared" si="0"/>
        <v>-36.28</v>
      </c>
      <c r="R21" s="1" t="s">
        <v>26</v>
      </c>
    </row>
    <row r="22" spans="1:18" x14ac:dyDescent="0.25">
      <c r="A22" s="2" t="s">
        <v>27</v>
      </c>
      <c r="B22" s="2">
        <v>1789</v>
      </c>
      <c r="C22" s="3">
        <v>44135</v>
      </c>
      <c r="D22" s="2" t="s">
        <v>28</v>
      </c>
      <c r="E22" s="3">
        <v>44104</v>
      </c>
      <c r="F22" s="2">
        <v>0</v>
      </c>
      <c r="G22" s="2">
        <v>0</v>
      </c>
      <c r="H22" s="3">
        <v>44135</v>
      </c>
      <c r="I22" s="3">
        <v>44140</v>
      </c>
      <c r="J22" s="2" t="s">
        <v>17</v>
      </c>
      <c r="K22" s="2">
        <v>366</v>
      </c>
      <c r="L22" s="2">
        <v>66</v>
      </c>
      <c r="M22" s="2">
        <v>300</v>
      </c>
      <c r="N22" s="2">
        <v>-5</v>
      </c>
      <c r="O22" s="4">
        <f t="shared" si="0"/>
        <v>-1500</v>
      </c>
      <c r="R22" s="1" t="s">
        <v>29</v>
      </c>
    </row>
    <row r="23" spans="1:18" x14ac:dyDescent="0.25">
      <c r="A23" s="2" t="s">
        <v>27</v>
      </c>
      <c r="B23" s="2">
        <v>1787</v>
      </c>
      <c r="C23" s="3">
        <v>44135</v>
      </c>
      <c r="D23" s="2" t="s">
        <v>30</v>
      </c>
      <c r="E23" s="3">
        <v>44104</v>
      </c>
      <c r="F23" s="2">
        <v>0</v>
      </c>
      <c r="G23" s="2">
        <v>0</v>
      </c>
      <c r="H23" s="3">
        <v>44135</v>
      </c>
      <c r="I23" s="3">
        <v>44140</v>
      </c>
      <c r="J23" s="2" t="s">
        <v>17</v>
      </c>
      <c r="K23" s="2">
        <v>793</v>
      </c>
      <c r="L23" s="2">
        <v>143</v>
      </c>
      <c r="M23" s="2">
        <v>650</v>
      </c>
      <c r="N23" s="2">
        <v>-5</v>
      </c>
      <c r="O23" s="4">
        <f t="shared" si="0"/>
        <v>-3250</v>
      </c>
      <c r="R23" s="1" t="s">
        <v>29</v>
      </c>
    </row>
    <row r="24" spans="1:18" x14ac:dyDescent="0.25">
      <c r="A24" s="2" t="s">
        <v>25</v>
      </c>
      <c r="B24" s="2">
        <v>1638</v>
      </c>
      <c r="C24" s="3">
        <v>44113</v>
      </c>
      <c r="D24" s="2" t="str">
        <f>"004062253519"</f>
        <v>004062253519</v>
      </c>
      <c r="E24" s="3">
        <v>44084</v>
      </c>
      <c r="F24" s="2">
        <v>0</v>
      </c>
      <c r="G24" s="2">
        <v>0</v>
      </c>
      <c r="H24" s="3">
        <v>44114</v>
      </c>
      <c r="I24" s="3">
        <v>44119</v>
      </c>
      <c r="J24" s="2" t="s">
        <v>17</v>
      </c>
      <c r="K24" s="2">
        <v>0.44</v>
      </c>
      <c r="L24" s="2">
        <v>0.08</v>
      </c>
      <c r="M24" s="2">
        <v>0.36</v>
      </c>
      <c r="N24" s="2">
        <v>-5</v>
      </c>
      <c r="O24" s="4">
        <f t="shared" si="0"/>
        <v>-1.7999999999999998</v>
      </c>
      <c r="R24" s="1" t="s">
        <v>26</v>
      </c>
    </row>
    <row r="25" spans="1:18" x14ac:dyDescent="0.25">
      <c r="A25" s="2" t="s">
        <v>25</v>
      </c>
      <c r="B25" s="2">
        <v>1615</v>
      </c>
      <c r="C25" s="3">
        <v>44113</v>
      </c>
      <c r="D25" s="2" t="str">
        <f>"004062253509"</f>
        <v>004062253509</v>
      </c>
      <c r="E25" s="3">
        <v>44084</v>
      </c>
      <c r="F25" s="2">
        <v>0</v>
      </c>
      <c r="G25" s="2">
        <v>0</v>
      </c>
      <c r="H25" s="3">
        <v>44114</v>
      </c>
      <c r="I25" s="3">
        <v>44119</v>
      </c>
      <c r="J25" s="2" t="s">
        <v>17</v>
      </c>
      <c r="K25" s="2">
        <v>100.94</v>
      </c>
      <c r="L25" s="2">
        <v>18.2</v>
      </c>
      <c r="M25" s="2">
        <v>82.74</v>
      </c>
      <c r="N25" s="2">
        <v>-5</v>
      </c>
      <c r="O25" s="4">
        <f t="shared" si="0"/>
        <v>-413.7</v>
      </c>
      <c r="R25" s="1" t="s">
        <v>26</v>
      </c>
    </row>
    <row r="26" spans="1:18" x14ac:dyDescent="0.25">
      <c r="A26" s="2" t="s">
        <v>25</v>
      </c>
      <c r="B26" s="2">
        <v>1632</v>
      </c>
      <c r="C26" s="3">
        <v>44113</v>
      </c>
      <c r="D26" s="2" t="str">
        <f>"004062253511"</f>
        <v>004062253511</v>
      </c>
      <c r="E26" s="3">
        <v>44084</v>
      </c>
      <c r="F26" s="2">
        <v>0</v>
      </c>
      <c r="G26" s="2">
        <v>0</v>
      </c>
      <c r="H26" s="3">
        <v>44114</v>
      </c>
      <c r="I26" s="3">
        <v>44119</v>
      </c>
      <c r="J26" s="2" t="s">
        <v>17</v>
      </c>
      <c r="K26" s="2">
        <v>160.93</v>
      </c>
      <c r="L26" s="2">
        <v>29.02</v>
      </c>
      <c r="M26" s="2">
        <v>131.91</v>
      </c>
      <c r="N26" s="2">
        <v>-5</v>
      </c>
      <c r="O26" s="4">
        <f t="shared" si="0"/>
        <v>-659.55</v>
      </c>
      <c r="R26" s="1" t="s">
        <v>26</v>
      </c>
    </row>
    <row r="27" spans="1:18" x14ac:dyDescent="0.25">
      <c r="A27" s="2" t="s">
        <v>25</v>
      </c>
      <c r="B27" s="2">
        <v>1615</v>
      </c>
      <c r="C27" s="3">
        <v>44113</v>
      </c>
      <c r="D27" s="2" t="str">
        <f>"004062253514"</f>
        <v>004062253514</v>
      </c>
      <c r="E27" s="3">
        <v>44084</v>
      </c>
      <c r="F27" s="2">
        <v>0</v>
      </c>
      <c r="G27" s="2">
        <v>0</v>
      </c>
      <c r="H27" s="3">
        <v>44114</v>
      </c>
      <c r="I27" s="3">
        <v>44119</v>
      </c>
      <c r="J27" s="2" t="s">
        <v>17</v>
      </c>
      <c r="K27" s="2">
        <v>30.21</v>
      </c>
      <c r="L27" s="2">
        <v>5.45</v>
      </c>
      <c r="M27" s="2">
        <v>24.76</v>
      </c>
      <c r="N27" s="2">
        <v>-5</v>
      </c>
      <c r="O27" s="4">
        <f t="shared" si="0"/>
        <v>-123.80000000000001</v>
      </c>
      <c r="R27" s="1" t="s">
        <v>26</v>
      </c>
    </row>
    <row r="28" spans="1:18" x14ac:dyDescent="0.25">
      <c r="A28" s="2" t="s">
        <v>25</v>
      </c>
      <c r="B28" s="2">
        <v>1640</v>
      </c>
      <c r="C28" s="3">
        <v>44113</v>
      </c>
      <c r="D28" s="2" t="str">
        <f>"004063260152"</f>
        <v>004063260152</v>
      </c>
      <c r="E28" s="3">
        <v>44085</v>
      </c>
      <c r="F28" s="2">
        <v>0</v>
      </c>
      <c r="G28" s="2">
        <v>0</v>
      </c>
      <c r="H28" s="3">
        <v>44114</v>
      </c>
      <c r="I28" s="3">
        <v>44120</v>
      </c>
      <c r="J28" s="2" t="s">
        <v>17</v>
      </c>
      <c r="K28" s="2">
        <v>81.95</v>
      </c>
      <c r="L28" s="2">
        <v>14.78</v>
      </c>
      <c r="M28" s="2">
        <v>67.17</v>
      </c>
      <c r="N28" s="2">
        <v>-6</v>
      </c>
      <c r="O28" s="4">
        <f t="shared" si="0"/>
        <v>-403.02</v>
      </c>
      <c r="R28" s="1" t="s">
        <v>26</v>
      </c>
    </row>
    <row r="29" spans="1:18" x14ac:dyDescent="0.25">
      <c r="A29" s="2" t="s">
        <v>25</v>
      </c>
      <c r="B29" s="2">
        <v>1638</v>
      </c>
      <c r="C29" s="3">
        <v>44113</v>
      </c>
      <c r="D29" s="2" t="str">
        <f>"004063260156"</f>
        <v>004063260156</v>
      </c>
      <c r="E29" s="3">
        <v>44085</v>
      </c>
      <c r="F29" s="2">
        <v>0</v>
      </c>
      <c r="G29" s="2">
        <v>0</v>
      </c>
      <c r="H29" s="3">
        <v>44114</v>
      </c>
      <c r="I29" s="3">
        <v>44120</v>
      </c>
      <c r="J29" s="2" t="s">
        <v>17</v>
      </c>
      <c r="K29" s="2">
        <v>326.86</v>
      </c>
      <c r="L29" s="2">
        <v>58.94</v>
      </c>
      <c r="M29" s="2">
        <v>267.92</v>
      </c>
      <c r="N29" s="2">
        <v>-6</v>
      </c>
      <c r="O29" s="4">
        <f t="shared" si="0"/>
        <v>-1607.52</v>
      </c>
      <c r="R29" s="1" t="s">
        <v>26</v>
      </c>
    </row>
    <row r="30" spans="1:18" x14ac:dyDescent="0.25">
      <c r="A30" s="2" t="s">
        <v>25</v>
      </c>
      <c r="B30" s="2">
        <v>1615</v>
      </c>
      <c r="C30" s="3">
        <v>44113</v>
      </c>
      <c r="D30" s="2" t="str">
        <f>"004063260154"</f>
        <v>004063260154</v>
      </c>
      <c r="E30" s="3">
        <v>44085</v>
      </c>
      <c r="F30" s="2">
        <v>0</v>
      </c>
      <c r="G30" s="2">
        <v>0</v>
      </c>
      <c r="H30" s="3">
        <v>44114</v>
      </c>
      <c r="I30" s="3">
        <v>44120</v>
      </c>
      <c r="J30" s="2" t="s">
        <v>17</v>
      </c>
      <c r="K30" s="2">
        <v>62.49</v>
      </c>
      <c r="L30" s="2">
        <v>11.27</v>
      </c>
      <c r="M30" s="2">
        <v>51.22</v>
      </c>
      <c r="N30" s="2">
        <v>-6</v>
      </c>
      <c r="O30" s="4">
        <f t="shared" si="0"/>
        <v>-307.32</v>
      </c>
      <c r="R30" s="1" t="s">
        <v>26</v>
      </c>
    </row>
    <row r="31" spans="1:18" x14ac:dyDescent="0.25">
      <c r="A31" s="2" t="s">
        <v>23</v>
      </c>
      <c r="B31" s="2">
        <v>2029</v>
      </c>
      <c r="C31" s="3">
        <v>44169</v>
      </c>
      <c r="D31" s="2" t="str">
        <f>"20228"</f>
        <v>20228</v>
      </c>
      <c r="E31" s="3">
        <v>44146</v>
      </c>
      <c r="F31" s="2">
        <v>0</v>
      </c>
      <c r="G31" s="2">
        <v>0</v>
      </c>
      <c r="H31" s="3">
        <v>44170</v>
      </c>
      <c r="I31" s="3">
        <v>44177</v>
      </c>
      <c r="J31" s="2" t="s">
        <v>17</v>
      </c>
      <c r="K31" s="4">
        <v>2080.15</v>
      </c>
      <c r="L31" s="2">
        <v>375.11</v>
      </c>
      <c r="M31" s="4">
        <v>1705.04</v>
      </c>
      <c r="N31" s="2">
        <v>-7</v>
      </c>
      <c r="O31" s="4">
        <f t="shared" si="0"/>
        <v>-11935.279999999999</v>
      </c>
      <c r="R31" s="1" t="s">
        <v>24</v>
      </c>
    </row>
    <row r="32" spans="1:18" ht="24" x14ac:dyDescent="0.25">
      <c r="A32" s="2" t="s">
        <v>31</v>
      </c>
      <c r="B32" s="2">
        <v>2000</v>
      </c>
      <c r="C32" s="3">
        <v>44163</v>
      </c>
      <c r="D32" s="2" t="s">
        <v>32</v>
      </c>
      <c r="E32" s="3">
        <v>44140</v>
      </c>
      <c r="F32" s="2">
        <v>0</v>
      </c>
      <c r="G32" s="2">
        <v>0</v>
      </c>
      <c r="H32" s="3">
        <v>44163</v>
      </c>
      <c r="I32" s="3">
        <v>44170</v>
      </c>
      <c r="J32" s="2" t="s">
        <v>17</v>
      </c>
      <c r="K32" s="2">
        <v>12.33</v>
      </c>
      <c r="L32" s="2">
        <v>2.2200000000000002</v>
      </c>
      <c r="M32" s="2">
        <v>10.11</v>
      </c>
      <c r="N32" s="2">
        <v>-7</v>
      </c>
      <c r="O32" s="4">
        <f t="shared" si="0"/>
        <v>-70.77</v>
      </c>
      <c r="R32" s="1" t="s">
        <v>22</v>
      </c>
    </row>
    <row r="33" spans="1:18" x14ac:dyDescent="0.25">
      <c r="A33" s="2" t="s">
        <v>33</v>
      </c>
      <c r="B33" s="2">
        <v>1882</v>
      </c>
      <c r="C33" s="3">
        <v>44155</v>
      </c>
      <c r="D33" s="2" t="str">
        <f>"00020200026"</f>
        <v>00020200026</v>
      </c>
      <c r="E33" s="3">
        <v>44104</v>
      </c>
      <c r="F33" s="2">
        <v>0</v>
      </c>
      <c r="G33" s="2">
        <v>0</v>
      </c>
      <c r="H33" s="3">
        <v>44156</v>
      </c>
      <c r="I33" s="3">
        <v>44165</v>
      </c>
      <c r="J33" s="2" t="s">
        <v>17</v>
      </c>
      <c r="K33" s="4">
        <v>96387.78</v>
      </c>
      <c r="L33" s="4">
        <v>8762.5300000000007</v>
      </c>
      <c r="M33" s="4">
        <v>87625.25</v>
      </c>
      <c r="N33" s="2">
        <v>-9</v>
      </c>
      <c r="O33" s="4">
        <f t="shared" si="0"/>
        <v>-788627.25</v>
      </c>
      <c r="R33" s="1" t="s">
        <v>24</v>
      </c>
    </row>
    <row r="34" spans="1:18" x14ac:dyDescent="0.25">
      <c r="A34" s="2" t="s">
        <v>25</v>
      </c>
      <c r="B34" s="2">
        <v>1615</v>
      </c>
      <c r="C34" s="3">
        <v>44113</v>
      </c>
      <c r="D34" s="2" t="str">
        <f>"004064198127"</f>
        <v>004064198127</v>
      </c>
      <c r="E34" s="3">
        <v>44086</v>
      </c>
      <c r="F34" s="2">
        <v>0</v>
      </c>
      <c r="G34" s="2">
        <v>0</v>
      </c>
      <c r="H34" s="3">
        <v>44114</v>
      </c>
      <c r="I34" s="3">
        <v>44123</v>
      </c>
      <c r="J34" s="2" t="s">
        <v>17</v>
      </c>
      <c r="K34" s="2">
        <v>60.67</v>
      </c>
      <c r="L34" s="2">
        <v>10.94</v>
      </c>
      <c r="M34" s="2">
        <v>49.73</v>
      </c>
      <c r="N34" s="2">
        <v>-9</v>
      </c>
      <c r="O34" s="4">
        <f t="shared" si="0"/>
        <v>-447.57</v>
      </c>
      <c r="R34" s="1" t="s">
        <v>26</v>
      </c>
    </row>
    <row r="35" spans="1:18" x14ac:dyDescent="0.25">
      <c r="A35" s="2" t="s">
        <v>25</v>
      </c>
      <c r="B35" s="2">
        <v>2038</v>
      </c>
      <c r="C35" s="3">
        <v>44169</v>
      </c>
      <c r="D35" s="2" t="str">
        <f>"004075677851"</f>
        <v>004075677851</v>
      </c>
      <c r="E35" s="3">
        <v>44145</v>
      </c>
      <c r="F35" s="2">
        <v>0</v>
      </c>
      <c r="G35" s="2">
        <v>0</v>
      </c>
      <c r="H35" s="3">
        <v>44170</v>
      </c>
      <c r="I35" s="3">
        <v>44180</v>
      </c>
      <c r="J35" s="2" t="s">
        <v>17</v>
      </c>
      <c r="K35" s="2">
        <v>0.48</v>
      </c>
      <c r="L35" s="2">
        <v>0.09</v>
      </c>
      <c r="M35" s="2">
        <v>0.39</v>
      </c>
      <c r="N35" s="2">
        <v>-10</v>
      </c>
      <c r="O35" s="4">
        <f t="shared" si="0"/>
        <v>-3.9000000000000004</v>
      </c>
      <c r="R35" s="1" t="s">
        <v>26</v>
      </c>
    </row>
    <row r="36" spans="1:18" ht="24" x14ac:dyDescent="0.25">
      <c r="A36" s="2" t="s">
        <v>34</v>
      </c>
      <c r="B36" s="2">
        <v>1811</v>
      </c>
      <c r="C36" s="3">
        <v>44135</v>
      </c>
      <c r="D36" s="2" t="s">
        <v>35</v>
      </c>
      <c r="E36" s="3">
        <v>44104</v>
      </c>
      <c r="F36" s="2">
        <v>0</v>
      </c>
      <c r="G36" s="2">
        <v>0</v>
      </c>
      <c r="H36" s="3">
        <v>44135</v>
      </c>
      <c r="I36" s="3">
        <v>44146</v>
      </c>
      <c r="J36" s="2" t="s">
        <v>17</v>
      </c>
      <c r="K36" s="4">
        <v>2596.7600000000002</v>
      </c>
      <c r="L36" s="2">
        <v>123.66</v>
      </c>
      <c r="M36" s="4">
        <v>2473.1</v>
      </c>
      <c r="N36" s="2">
        <v>-11</v>
      </c>
      <c r="O36" s="4">
        <f t="shared" si="0"/>
        <v>-27204.1</v>
      </c>
      <c r="R36" s="1" t="s">
        <v>36</v>
      </c>
    </row>
    <row r="37" spans="1:18" x14ac:dyDescent="0.25">
      <c r="A37" s="2" t="s">
        <v>37</v>
      </c>
      <c r="B37" s="2">
        <v>2173</v>
      </c>
      <c r="C37" s="3">
        <v>44183</v>
      </c>
      <c r="D37" s="2" t="s">
        <v>38</v>
      </c>
      <c r="E37" s="3">
        <v>44165</v>
      </c>
      <c r="F37" s="2">
        <v>0</v>
      </c>
      <c r="G37" s="2">
        <v>0</v>
      </c>
      <c r="H37" s="3">
        <v>44184</v>
      </c>
      <c r="I37" s="3">
        <v>44195</v>
      </c>
      <c r="J37" s="2" t="s">
        <v>17</v>
      </c>
      <c r="K37" s="2">
        <v>61</v>
      </c>
      <c r="L37" s="2">
        <v>11</v>
      </c>
      <c r="M37" s="2">
        <v>50</v>
      </c>
      <c r="N37" s="2">
        <v>-11</v>
      </c>
      <c r="O37" s="4">
        <f t="shared" si="0"/>
        <v>-550</v>
      </c>
      <c r="R37" s="1" t="s">
        <v>39</v>
      </c>
    </row>
    <row r="38" spans="1:18" x14ac:dyDescent="0.25">
      <c r="A38" s="2" t="s">
        <v>25</v>
      </c>
      <c r="B38" s="2">
        <v>1808</v>
      </c>
      <c r="C38" s="3">
        <v>44135</v>
      </c>
      <c r="D38" s="2" t="str">
        <f>"004064825385"</f>
        <v>004064825385</v>
      </c>
      <c r="E38" s="3">
        <v>44111</v>
      </c>
      <c r="F38" s="2">
        <v>0</v>
      </c>
      <c r="G38" s="2">
        <v>0</v>
      </c>
      <c r="H38" s="3">
        <v>44135</v>
      </c>
      <c r="I38" s="3">
        <v>44146</v>
      </c>
      <c r="J38" s="2" t="s">
        <v>17</v>
      </c>
      <c r="K38" s="2">
        <v>59.26</v>
      </c>
      <c r="L38" s="2">
        <v>10.69</v>
      </c>
      <c r="M38" s="2">
        <v>48.57</v>
      </c>
      <c r="N38" s="2">
        <v>-11</v>
      </c>
      <c r="O38" s="4">
        <f t="shared" si="0"/>
        <v>-534.27</v>
      </c>
      <c r="R38" s="1" t="s">
        <v>26</v>
      </c>
    </row>
    <row r="39" spans="1:18" x14ac:dyDescent="0.25">
      <c r="A39" s="2" t="s">
        <v>25</v>
      </c>
      <c r="B39" s="2">
        <v>1809</v>
      </c>
      <c r="C39" s="3">
        <v>44135</v>
      </c>
      <c r="D39" s="2" t="str">
        <f>"004064825381"</f>
        <v>004064825381</v>
      </c>
      <c r="E39" s="3">
        <v>44111</v>
      </c>
      <c r="F39" s="2">
        <v>0</v>
      </c>
      <c r="G39" s="2">
        <v>0</v>
      </c>
      <c r="H39" s="3">
        <v>44135</v>
      </c>
      <c r="I39" s="3">
        <v>44146</v>
      </c>
      <c r="J39" s="2" t="s">
        <v>17</v>
      </c>
      <c r="K39" s="2">
        <v>219.82</v>
      </c>
      <c r="L39" s="2">
        <v>39.64</v>
      </c>
      <c r="M39" s="2">
        <v>180.18</v>
      </c>
      <c r="N39" s="2">
        <v>-11</v>
      </c>
      <c r="O39" s="4">
        <f t="shared" si="0"/>
        <v>-1981.98</v>
      </c>
      <c r="R39" s="1" t="s">
        <v>26</v>
      </c>
    </row>
    <row r="40" spans="1:18" x14ac:dyDescent="0.25">
      <c r="A40" s="2" t="s">
        <v>25</v>
      </c>
      <c r="B40" s="2">
        <v>1808</v>
      </c>
      <c r="C40" s="3">
        <v>44135</v>
      </c>
      <c r="D40" s="2" t="str">
        <f>"004064825391"</f>
        <v>004064825391</v>
      </c>
      <c r="E40" s="3">
        <v>44111</v>
      </c>
      <c r="F40" s="2">
        <v>0</v>
      </c>
      <c r="G40" s="2">
        <v>0</v>
      </c>
      <c r="H40" s="3">
        <v>44135</v>
      </c>
      <c r="I40" s="3">
        <v>44146</v>
      </c>
      <c r="J40" s="2" t="s">
        <v>17</v>
      </c>
      <c r="K40" s="2">
        <v>140.69999999999999</v>
      </c>
      <c r="L40" s="2">
        <v>25.37</v>
      </c>
      <c r="M40" s="2">
        <v>115.33</v>
      </c>
      <c r="N40" s="2">
        <v>-11</v>
      </c>
      <c r="O40" s="4">
        <f t="shared" si="0"/>
        <v>-1268.6299999999999</v>
      </c>
      <c r="R40" s="1" t="s">
        <v>26</v>
      </c>
    </row>
    <row r="41" spans="1:18" x14ac:dyDescent="0.25">
      <c r="A41" s="2" t="s">
        <v>25</v>
      </c>
      <c r="B41" s="2">
        <v>1808</v>
      </c>
      <c r="C41" s="3">
        <v>44135</v>
      </c>
      <c r="D41" s="2" t="str">
        <f>"004064825386"</f>
        <v>004064825386</v>
      </c>
      <c r="E41" s="3">
        <v>44111</v>
      </c>
      <c r="F41" s="2">
        <v>0</v>
      </c>
      <c r="G41" s="2">
        <v>0</v>
      </c>
      <c r="H41" s="3">
        <v>44135</v>
      </c>
      <c r="I41" s="3">
        <v>44146</v>
      </c>
      <c r="J41" s="2" t="s">
        <v>17</v>
      </c>
      <c r="K41" s="2">
        <v>60.91</v>
      </c>
      <c r="L41" s="2">
        <v>10.98</v>
      </c>
      <c r="M41" s="2">
        <v>49.93</v>
      </c>
      <c r="N41" s="2">
        <v>-11</v>
      </c>
      <c r="O41" s="4">
        <f t="shared" si="0"/>
        <v>-549.23</v>
      </c>
      <c r="R41" s="1" t="s">
        <v>26</v>
      </c>
    </row>
    <row r="42" spans="1:18" x14ac:dyDescent="0.25">
      <c r="A42" s="2" t="s">
        <v>25</v>
      </c>
      <c r="B42" s="2">
        <v>1808</v>
      </c>
      <c r="C42" s="3">
        <v>44135</v>
      </c>
      <c r="D42" s="2" t="str">
        <f>"004064825399"</f>
        <v>004064825399</v>
      </c>
      <c r="E42" s="3">
        <v>44111</v>
      </c>
      <c r="F42" s="2">
        <v>0</v>
      </c>
      <c r="G42" s="2">
        <v>0</v>
      </c>
      <c r="H42" s="3">
        <v>44135</v>
      </c>
      <c r="I42" s="3">
        <v>44146</v>
      </c>
      <c r="J42" s="2" t="s">
        <v>17</v>
      </c>
      <c r="K42" s="2">
        <v>37.78</v>
      </c>
      <c r="L42" s="2">
        <v>6.81</v>
      </c>
      <c r="M42" s="2">
        <v>30.97</v>
      </c>
      <c r="N42" s="2">
        <v>-11</v>
      </c>
      <c r="O42" s="4">
        <f t="shared" si="0"/>
        <v>-340.66999999999996</v>
      </c>
      <c r="R42" s="1" t="s">
        <v>26</v>
      </c>
    </row>
    <row r="43" spans="1:18" x14ac:dyDescent="0.25">
      <c r="A43" s="2" t="s">
        <v>25</v>
      </c>
      <c r="B43" s="2">
        <v>1808</v>
      </c>
      <c r="C43" s="3">
        <v>44135</v>
      </c>
      <c r="D43" s="2" t="str">
        <f>"004064825388"</f>
        <v>004064825388</v>
      </c>
      <c r="E43" s="3">
        <v>44111</v>
      </c>
      <c r="F43" s="2">
        <v>0</v>
      </c>
      <c r="G43" s="2">
        <v>0</v>
      </c>
      <c r="H43" s="3">
        <v>44135</v>
      </c>
      <c r="I43" s="3">
        <v>44146</v>
      </c>
      <c r="J43" s="2" t="s">
        <v>17</v>
      </c>
      <c r="K43" s="2">
        <v>12.36</v>
      </c>
      <c r="L43" s="2">
        <v>2.23</v>
      </c>
      <c r="M43" s="2">
        <v>10.130000000000001</v>
      </c>
      <c r="N43" s="2">
        <v>-11</v>
      </c>
      <c r="O43" s="4">
        <f t="shared" si="0"/>
        <v>-111.43</v>
      </c>
      <c r="R43" s="1" t="s">
        <v>26</v>
      </c>
    </row>
    <row r="44" spans="1:18" x14ac:dyDescent="0.25">
      <c r="A44" s="2" t="s">
        <v>25</v>
      </c>
      <c r="B44" s="2">
        <v>1808</v>
      </c>
      <c r="C44" s="3">
        <v>44135</v>
      </c>
      <c r="D44" s="2" t="str">
        <f>"004064825374"</f>
        <v>004064825374</v>
      </c>
      <c r="E44" s="3">
        <v>44111</v>
      </c>
      <c r="F44" s="2">
        <v>0</v>
      </c>
      <c r="G44" s="2">
        <v>0</v>
      </c>
      <c r="H44" s="3">
        <v>44135</v>
      </c>
      <c r="I44" s="3">
        <v>44146</v>
      </c>
      <c r="J44" s="2" t="s">
        <v>17</v>
      </c>
      <c r="K44" s="2">
        <v>34.880000000000003</v>
      </c>
      <c r="L44" s="2">
        <v>6.29</v>
      </c>
      <c r="M44" s="2">
        <v>28.59</v>
      </c>
      <c r="N44" s="2">
        <v>-11</v>
      </c>
      <c r="O44" s="4">
        <f t="shared" si="0"/>
        <v>-314.49</v>
      </c>
      <c r="R44" s="1" t="s">
        <v>26</v>
      </c>
    </row>
    <row r="45" spans="1:18" x14ac:dyDescent="0.25">
      <c r="A45" s="2" t="s">
        <v>25</v>
      </c>
      <c r="B45" s="2">
        <v>1805</v>
      </c>
      <c r="C45" s="3">
        <v>44135</v>
      </c>
      <c r="D45" s="2" t="str">
        <f>"004064825395"</f>
        <v>004064825395</v>
      </c>
      <c r="E45" s="3">
        <v>44111</v>
      </c>
      <c r="F45" s="2">
        <v>0</v>
      </c>
      <c r="G45" s="2">
        <v>0</v>
      </c>
      <c r="H45" s="3">
        <v>44135</v>
      </c>
      <c r="I45" s="3">
        <v>44146</v>
      </c>
      <c r="J45" s="2" t="s">
        <v>17</v>
      </c>
      <c r="K45" s="2">
        <v>71.17</v>
      </c>
      <c r="L45" s="2">
        <v>12.83</v>
      </c>
      <c r="M45" s="2">
        <v>58.34</v>
      </c>
      <c r="N45" s="2">
        <v>-11</v>
      </c>
      <c r="O45" s="4">
        <f t="shared" si="0"/>
        <v>-641.74</v>
      </c>
      <c r="R45" s="1" t="s">
        <v>26</v>
      </c>
    </row>
    <row r="46" spans="1:18" x14ac:dyDescent="0.25">
      <c r="A46" s="2" t="s">
        <v>25</v>
      </c>
      <c r="B46" s="2">
        <v>1808</v>
      </c>
      <c r="C46" s="3">
        <v>44135</v>
      </c>
      <c r="D46" s="2" t="str">
        <f>"004064825356"</f>
        <v>004064825356</v>
      </c>
      <c r="E46" s="3">
        <v>44111</v>
      </c>
      <c r="F46" s="2">
        <v>0</v>
      </c>
      <c r="G46" s="2">
        <v>0</v>
      </c>
      <c r="H46" s="3">
        <v>44135</v>
      </c>
      <c r="I46" s="3">
        <v>44146</v>
      </c>
      <c r="J46" s="2" t="s">
        <v>17</v>
      </c>
      <c r="K46" s="2">
        <v>10.85</v>
      </c>
      <c r="L46" s="2">
        <v>1.96</v>
      </c>
      <c r="M46" s="2">
        <v>8.89</v>
      </c>
      <c r="N46" s="2">
        <v>-11</v>
      </c>
      <c r="O46" s="4">
        <f t="shared" si="0"/>
        <v>-97.79</v>
      </c>
      <c r="R46" s="1" t="s">
        <v>26</v>
      </c>
    </row>
    <row r="47" spans="1:18" x14ac:dyDescent="0.25">
      <c r="A47" s="2" t="s">
        <v>25</v>
      </c>
      <c r="B47" s="2">
        <v>1806</v>
      </c>
      <c r="C47" s="3">
        <v>44135</v>
      </c>
      <c r="D47" s="2" t="str">
        <f>"004064825384"</f>
        <v>004064825384</v>
      </c>
      <c r="E47" s="3">
        <v>44111</v>
      </c>
      <c r="F47" s="2">
        <v>0</v>
      </c>
      <c r="G47" s="2">
        <v>0</v>
      </c>
      <c r="H47" s="3">
        <v>44135</v>
      </c>
      <c r="I47" s="3">
        <v>44146</v>
      </c>
      <c r="J47" s="2" t="s">
        <v>17</v>
      </c>
      <c r="K47" s="2">
        <v>532.46</v>
      </c>
      <c r="L47" s="2">
        <v>96.02</v>
      </c>
      <c r="M47" s="2">
        <v>436.44</v>
      </c>
      <c r="N47" s="2">
        <v>-11</v>
      </c>
      <c r="O47" s="4">
        <f t="shared" si="0"/>
        <v>-4800.84</v>
      </c>
      <c r="R47" s="1" t="s">
        <v>26</v>
      </c>
    </row>
    <row r="48" spans="1:18" x14ac:dyDescent="0.25">
      <c r="A48" s="2" t="s">
        <v>25</v>
      </c>
      <c r="B48" s="2">
        <v>1808</v>
      </c>
      <c r="C48" s="3">
        <v>44135</v>
      </c>
      <c r="D48" s="2" t="str">
        <f>"004064825389"</f>
        <v>004064825389</v>
      </c>
      <c r="E48" s="3">
        <v>44111</v>
      </c>
      <c r="F48" s="2">
        <v>0</v>
      </c>
      <c r="G48" s="2">
        <v>0</v>
      </c>
      <c r="H48" s="3">
        <v>44135</v>
      </c>
      <c r="I48" s="3">
        <v>44146</v>
      </c>
      <c r="J48" s="2" t="s">
        <v>17</v>
      </c>
      <c r="K48" s="2">
        <v>8.6</v>
      </c>
      <c r="L48" s="2">
        <v>1.55</v>
      </c>
      <c r="M48" s="2">
        <v>7.05</v>
      </c>
      <c r="N48" s="2">
        <v>-11</v>
      </c>
      <c r="O48" s="4">
        <f t="shared" si="0"/>
        <v>-77.55</v>
      </c>
      <c r="R48" s="1" t="s">
        <v>26</v>
      </c>
    </row>
    <row r="49" spans="1:18" x14ac:dyDescent="0.25">
      <c r="A49" s="2" t="s">
        <v>25</v>
      </c>
      <c r="B49" s="2">
        <v>1808</v>
      </c>
      <c r="C49" s="3">
        <v>44135</v>
      </c>
      <c r="D49" s="2" t="str">
        <f>"004064825380"</f>
        <v>004064825380</v>
      </c>
      <c r="E49" s="3">
        <v>44111</v>
      </c>
      <c r="F49" s="2">
        <v>0</v>
      </c>
      <c r="G49" s="2">
        <v>0</v>
      </c>
      <c r="H49" s="3">
        <v>44135</v>
      </c>
      <c r="I49" s="3">
        <v>44146</v>
      </c>
      <c r="J49" s="2" t="s">
        <v>17</v>
      </c>
      <c r="K49" s="2">
        <v>21.96</v>
      </c>
      <c r="L49" s="2">
        <v>3.96</v>
      </c>
      <c r="M49" s="2">
        <v>18</v>
      </c>
      <c r="N49" s="2">
        <v>-11</v>
      </c>
      <c r="O49" s="4">
        <f t="shared" si="0"/>
        <v>-198</v>
      </c>
      <c r="R49" s="1" t="s">
        <v>26</v>
      </c>
    </row>
    <row r="50" spans="1:18" x14ac:dyDescent="0.25">
      <c r="A50" s="2" t="s">
        <v>25</v>
      </c>
      <c r="B50" s="2">
        <v>1793</v>
      </c>
      <c r="C50" s="3">
        <v>44135</v>
      </c>
      <c r="D50" s="2" t="str">
        <f>"004064825358"</f>
        <v>004064825358</v>
      </c>
      <c r="E50" s="3">
        <v>44111</v>
      </c>
      <c r="F50" s="2">
        <v>0</v>
      </c>
      <c r="G50" s="2">
        <v>0</v>
      </c>
      <c r="H50" s="3">
        <v>44135</v>
      </c>
      <c r="I50" s="3">
        <v>44146</v>
      </c>
      <c r="J50" s="2" t="s">
        <v>17</v>
      </c>
      <c r="K50" s="2">
        <v>229.41</v>
      </c>
      <c r="L50" s="2">
        <v>41.37</v>
      </c>
      <c r="M50" s="2">
        <v>188.04</v>
      </c>
      <c r="N50" s="2">
        <v>-11</v>
      </c>
      <c r="O50" s="4">
        <f t="shared" si="0"/>
        <v>-2068.44</v>
      </c>
      <c r="R50" s="1" t="s">
        <v>26</v>
      </c>
    </row>
    <row r="51" spans="1:18" x14ac:dyDescent="0.25">
      <c r="A51" s="2" t="s">
        <v>25</v>
      </c>
      <c r="B51" s="2">
        <v>1790</v>
      </c>
      <c r="C51" s="3">
        <v>44135</v>
      </c>
      <c r="D51" s="2" t="str">
        <f>"004064825379"</f>
        <v>004064825379</v>
      </c>
      <c r="E51" s="3">
        <v>44111</v>
      </c>
      <c r="F51" s="2">
        <v>0</v>
      </c>
      <c r="G51" s="2">
        <v>0</v>
      </c>
      <c r="H51" s="3">
        <v>44135</v>
      </c>
      <c r="I51" s="3">
        <v>44146</v>
      </c>
      <c r="J51" s="2" t="s">
        <v>17</v>
      </c>
      <c r="K51" s="2">
        <v>405.2</v>
      </c>
      <c r="L51" s="2">
        <v>73.069999999999993</v>
      </c>
      <c r="M51" s="2">
        <v>332.13</v>
      </c>
      <c r="N51" s="2">
        <v>-11</v>
      </c>
      <c r="O51" s="4">
        <f t="shared" si="0"/>
        <v>-3653.43</v>
      </c>
      <c r="R51" s="1" t="s">
        <v>26</v>
      </c>
    </row>
    <row r="52" spans="1:18" x14ac:dyDescent="0.25">
      <c r="A52" s="2" t="s">
        <v>25</v>
      </c>
      <c r="B52" s="2">
        <v>1808</v>
      </c>
      <c r="C52" s="3">
        <v>44135</v>
      </c>
      <c r="D52" s="2" t="str">
        <f>"004064825357"</f>
        <v>004064825357</v>
      </c>
      <c r="E52" s="3">
        <v>44111</v>
      </c>
      <c r="F52" s="2">
        <v>0</v>
      </c>
      <c r="G52" s="2">
        <v>0</v>
      </c>
      <c r="H52" s="3">
        <v>44135</v>
      </c>
      <c r="I52" s="3">
        <v>44146</v>
      </c>
      <c r="J52" s="2" t="s">
        <v>17</v>
      </c>
      <c r="K52" s="2">
        <v>47.59</v>
      </c>
      <c r="L52" s="2">
        <v>8.58</v>
      </c>
      <c r="M52" s="2">
        <v>39.01</v>
      </c>
      <c r="N52" s="2">
        <v>-11</v>
      </c>
      <c r="O52" s="4">
        <f t="shared" si="0"/>
        <v>-429.10999999999996</v>
      </c>
      <c r="R52" s="1" t="s">
        <v>26</v>
      </c>
    </row>
    <row r="53" spans="1:18" x14ac:dyDescent="0.25">
      <c r="A53" s="2" t="s">
        <v>25</v>
      </c>
      <c r="B53" s="2">
        <v>1639</v>
      </c>
      <c r="C53" s="3">
        <v>44113</v>
      </c>
      <c r="D53" s="2" t="str">
        <f>"004064516675"</f>
        <v>004064516675</v>
      </c>
      <c r="E53" s="3">
        <v>44090</v>
      </c>
      <c r="F53" s="2">
        <v>0</v>
      </c>
      <c r="G53" s="2">
        <v>0</v>
      </c>
      <c r="H53" s="3">
        <v>44114</v>
      </c>
      <c r="I53" s="3">
        <v>44125</v>
      </c>
      <c r="J53" s="2" t="s">
        <v>17</v>
      </c>
      <c r="K53" s="2">
        <v>122.63</v>
      </c>
      <c r="L53" s="2">
        <v>22.11</v>
      </c>
      <c r="M53" s="2">
        <v>100.52</v>
      </c>
      <c r="N53" s="2">
        <v>-11</v>
      </c>
      <c r="O53" s="4">
        <f t="shared" si="0"/>
        <v>-1105.72</v>
      </c>
      <c r="R53" s="1" t="s">
        <v>26</v>
      </c>
    </row>
    <row r="54" spans="1:18" x14ac:dyDescent="0.25">
      <c r="A54" s="2" t="s">
        <v>25</v>
      </c>
      <c r="B54" s="2">
        <v>1793</v>
      </c>
      <c r="C54" s="3">
        <v>44135</v>
      </c>
      <c r="D54" s="2" t="str">
        <f>"004064825390"</f>
        <v>004064825390</v>
      </c>
      <c r="E54" s="3">
        <v>44111</v>
      </c>
      <c r="F54" s="2">
        <v>0</v>
      </c>
      <c r="G54" s="2">
        <v>0</v>
      </c>
      <c r="H54" s="3">
        <v>44135</v>
      </c>
      <c r="I54" s="3">
        <v>44146</v>
      </c>
      <c r="J54" s="2" t="s">
        <v>17</v>
      </c>
      <c r="K54" s="2">
        <v>22.83</v>
      </c>
      <c r="L54" s="2">
        <v>4.12</v>
      </c>
      <c r="M54" s="2">
        <v>18.71</v>
      </c>
      <c r="N54" s="2">
        <v>-11</v>
      </c>
      <c r="O54" s="4">
        <f t="shared" si="0"/>
        <v>-205.81</v>
      </c>
      <c r="R54" s="1" t="s">
        <v>26</v>
      </c>
    </row>
    <row r="55" spans="1:18" x14ac:dyDescent="0.25">
      <c r="A55" s="2" t="s">
        <v>25</v>
      </c>
      <c r="B55" s="2">
        <v>1808</v>
      </c>
      <c r="C55" s="3">
        <v>44135</v>
      </c>
      <c r="D55" s="2" t="str">
        <f>"004064825373"</f>
        <v>004064825373</v>
      </c>
      <c r="E55" s="3">
        <v>44111</v>
      </c>
      <c r="F55" s="2">
        <v>0</v>
      </c>
      <c r="G55" s="2">
        <v>0</v>
      </c>
      <c r="H55" s="3">
        <v>44135</v>
      </c>
      <c r="I55" s="3">
        <v>44146</v>
      </c>
      <c r="J55" s="2" t="s">
        <v>17</v>
      </c>
      <c r="K55" s="2">
        <v>11.25</v>
      </c>
      <c r="L55" s="2">
        <v>2.0299999999999998</v>
      </c>
      <c r="M55" s="2">
        <v>9.2200000000000006</v>
      </c>
      <c r="N55" s="2">
        <v>-11</v>
      </c>
      <c r="O55" s="4">
        <f t="shared" si="0"/>
        <v>-101.42</v>
      </c>
      <c r="R55" s="1" t="s">
        <v>26</v>
      </c>
    </row>
    <row r="56" spans="1:18" x14ac:dyDescent="0.25">
      <c r="A56" s="2" t="s">
        <v>25</v>
      </c>
      <c r="B56" s="2">
        <v>1808</v>
      </c>
      <c r="C56" s="3">
        <v>44135</v>
      </c>
      <c r="D56" s="2" t="str">
        <f>"004064825387"</f>
        <v>004064825387</v>
      </c>
      <c r="E56" s="3">
        <v>44111</v>
      </c>
      <c r="F56" s="2">
        <v>0</v>
      </c>
      <c r="G56" s="2">
        <v>0</v>
      </c>
      <c r="H56" s="3">
        <v>44135</v>
      </c>
      <c r="I56" s="3">
        <v>44146</v>
      </c>
      <c r="J56" s="2" t="s">
        <v>17</v>
      </c>
      <c r="K56" s="2">
        <v>69.489999999999995</v>
      </c>
      <c r="L56" s="2">
        <v>12.53</v>
      </c>
      <c r="M56" s="2">
        <v>56.96</v>
      </c>
      <c r="N56" s="2">
        <v>-11</v>
      </c>
      <c r="O56" s="4">
        <f t="shared" si="0"/>
        <v>-626.56000000000006</v>
      </c>
      <c r="R56" s="1" t="s">
        <v>26</v>
      </c>
    </row>
    <row r="57" spans="1:18" x14ac:dyDescent="0.25">
      <c r="A57" s="2" t="s">
        <v>25</v>
      </c>
      <c r="B57" s="2">
        <v>1808</v>
      </c>
      <c r="C57" s="3">
        <v>44135</v>
      </c>
      <c r="D57" s="2" t="str">
        <f>"004064825360"</f>
        <v>004064825360</v>
      </c>
      <c r="E57" s="3">
        <v>44111</v>
      </c>
      <c r="F57" s="2">
        <v>0</v>
      </c>
      <c r="G57" s="2">
        <v>0</v>
      </c>
      <c r="H57" s="3">
        <v>44135</v>
      </c>
      <c r="I57" s="3">
        <v>44146</v>
      </c>
      <c r="J57" s="2" t="s">
        <v>17</v>
      </c>
      <c r="K57" s="2">
        <v>110.34</v>
      </c>
      <c r="L57" s="2">
        <v>19.899999999999999</v>
      </c>
      <c r="M57" s="2">
        <v>90.44</v>
      </c>
      <c r="N57" s="2">
        <v>-11</v>
      </c>
      <c r="O57" s="4">
        <f t="shared" si="0"/>
        <v>-994.83999999999992</v>
      </c>
      <c r="R57" s="1" t="s">
        <v>26</v>
      </c>
    </row>
    <row r="58" spans="1:18" x14ac:dyDescent="0.25">
      <c r="A58" s="2" t="s">
        <v>25</v>
      </c>
      <c r="B58" s="2">
        <v>1808</v>
      </c>
      <c r="C58" s="3">
        <v>44135</v>
      </c>
      <c r="D58" s="2" t="str">
        <f>"004064825378"</f>
        <v>004064825378</v>
      </c>
      <c r="E58" s="3">
        <v>44111</v>
      </c>
      <c r="F58" s="2">
        <v>0</v>
      </c>
      <c r="G58" s="2">
        <v>0</v>
      </c>
      <c r="H58" s="3">
        <v>44135</v>
      </c>
      <c r="I58" s="3">
        <v>44146</v>
      </c>
      <c r="J58" s="2" t="s">
        <v>17</v>
      </c>
      <c r="K58" s="2">
        <v>73.87</v>
      </c>
      <c r="L58" s="2">
        <v>13.32</v>
      </c>
      <c r="M58" s="2">
        <v>60.55</v>
      </c>
      <c r="N58" s="2">
        <v>-11</v>
      </c>
      <c r="O58" s="4">
        <f t="shared" si="0"/>
        <v>-666.05</v>
      </c>
      <c r="R58" s="1" t="s">
        <v>26</v>
      </c>
    </row>
    <row r="59" spans="1:18" x14ac:dyDescent="0.25">
      <c r="A59" s="2" t="s">
        <v>25</v>
      </c>
      <c r="B59" s="2">
        <v>1801</v>
      </c>
      <c r="C59" s="3">
        <v>44135</v>
      </c>
      <c r="D59" s="2" t="str">
        <f>"004064825398"</f>
        <v>004064825398</v>
      </c>
      <c r="E59" s="3">
        <v>44111</v>
      </c>
      <c r="F59" s="2">
        <v>0</v>
      </c>
      <c r="G59" s="2">
        <v>0</v>
      </c>
      <c r="H59" s="3">
        <v>44135</v>
      </c>
      <c r="I59" s="3">
        <v>44146</v>
      </c>
      <c r="J59" s="2" t="s">
        <v>17</v>
      </c>
      <c r="K59" s="2">
        <v>180.71</v>
      </c>
      <c r="L59" s="2">
        <v>32.590000000000003</v>
      </c>
      <c r="M59" s="2">
        <v>148.12</v>
      </c>
      <c r="N59" s="2">
        <v>-11</v>
      </c>
      <c r="O59" s="4">
        <f t="shared" si="0"/>
        <v>-1629.3200000000002</v>
      </c>
      <c r="R59" s="1" t="s">
        <v>26</v>
      </c>
    </row>
    <row r="60" spans="1:18" x14ac:dyDescent="0.25">
      <c r="A60" s="2" t="s">
        <v>25</v>
      </c>
      <c r="B60" s="2">
        <v>1805</v>
      </c>
      <c r="C60" s="3">
        <v>44135</v>
      </c>
      <c r="D60" s="2" t="str">
        <f>"004064825367"</f>
        <v>004064825367</v>
      </c>
      <c r="E60" s="3">
        <v>44111</v>
      </c>
      <c r="F60" s="2">
        <v>0</v>
      </c>
      <c r="G60" s="2">
        <v>0</v>
      </c>
      <c r="H60" s="3">
        <v>44135</v>
      </c>
      <c r="I60" s="3">
        <v>44146</v>
      </c>
      <c r="J60" s="2" t="s">
        <v>17</v>
      </c>
      <c r="K60" s="2">
        <v>186.5</v>
      </c>
      <c r="L60" s="2">
        <v>33.630000000000003</v>
      </c>
      <c r="M60" s="2">
        <v>152.87</v>
      </c>
      <c r="N60" s="2">
        <v>-11</v>
      </c>
      <c r="O60" s="4">
        <f t="shared" si="0"/>
        <v>-1681.5700000000002</v>
      </c>
      <c r="R60" s="1" t="s">
        <v>26</v>
      </c>
    </row>
    <row r="61" spans="1:18" x14ac:dyDescent="0.25">
      <c r="A61" s="2" t="s">
        <v>25</v>
      </c>
      <c r="B61" s="2">
        <v>1793</v>
      </c>
      <c r="C61" s="3">
        <v>44135</v>
      </c>
      <c r="D61" s="2" t="str">
        <f>"004064825376"</f>
        <v>004064825376</v>
      </c>
      <c r="E61" s="3">
        <v>44111</v>
      </c>
      <c r="F61" s="2">
        <v>0</v>
      </c>
      <c r="G61" s="2">
        <v>0</v>
      </c>
      <c r="H61" s="3">
        <v>44135</v>
      </c>
      <c r="I61" s="3">
        <v>44146</v>
      </c>
      <c r="J61" s="2" t="s">
        <v>17</v>
      </c>
      <c r="K61" s="2">
        <v>25.93</v>
      </c>
      <c r="L61" s="2">
        <v>4.68</v>
      </c>
      <c r="M61" s="2">
        <v>21.25</v>
      </c>
      <c r="N61" s="2">
        <v>-11</v>
      </c>
      <c r="O61" s="4">
        <f t="shared" si="0"/>
        <v>-233.75</v>
      </c>
      <c r="R61" s="1" t="s">
        <v>26</v>
      </c>
    </row>
    <row r="62" spans="1:18" x14ac:dyDescent="0.25">
      <c r="A62" s="2" t="s">
        <v>25</v>
      </c>
      <c r="B62" s="2">
        <v>1793</v>
      </c>
      <c r="C62" s="3">
        <v>44135</v>
      </c>
      <c r="D62" s="2" t="str">
        <f>"004064825371"</f>
        <v>004064825371</v>
      </c>
      <c r="E62" s="3">
        <v>44111</v>
      </c>
      <c r="F62" s="2">
        <v>0</v>
      </c>
      <c r="G62" s="2">
        <v>0</v>
      </c>
      <c r="H62" s="3">
        <v>44135</v>
      </c>
      <c r="I62" s="3">
        <v>44146</v>
      </c>
      <c r="J62" s="2" t="s">
        <v>17</v>
      </c>
      <c r="K62" s="2">
        <v>42.21</v>
      </c>
      <c r="L62" s="2">
        <v>7.61</v>
      </c>
      <c r="M62" s="2">
        <v>34.6</v>
      </c>
      <c r="N62" s="2">
        <v>-11</v>
      </c>
      <c r="O62" s="4">
        <f>+M62*N62</f>
        <v>-380.6</v>
      </c>
      <c r="R62" s="1" t="s">
        <v>26</v>
      </c>
    </row>
    <row r="63" spans="1:18" x14ac:dyDescent="0.25">
      <c r="A63" s="2" t="s">
        <v>25</v>
      </c>
      <c r="B63" s="2">
        <v>1808</v>
      </c>
      <c r="C63" s="3">
        <v>44135</v>
      </c>
      <c r="D63" s="2" t="str">
        <f>"004064825369"</f>
        <v>004064825369</v>
      </c>
      <c r="E63" s="3">
        <v>44111</v>
      </c>
      <c r="F63" s="2">
        <v>0</v>
      </c>
      <c r="G63" s="2">
        <v>0</v>
      </c>
      <c r="H63" s="3">
        <v>44135</v>
      </c>
      <c r="I63" s="3">
        <v>44146</v>
      </c>
      <c r="J63" s="2" t="s">
        <v>17</v>
      </c>
      <c r="K63" s="2">
        <v>36.14</v>
      </c>
      <c r="L63" s="2">
        <v>6.52</v>
      </c>
      <c r="M63" s="2">
        <v>29.62</v>
      </c>
      <c r="N63" s="2">
        <v>-11</v>
      </c>
      <c r="O63" s="4">
        <f t="shared" si="0"/>
        <v>-325.82</v>
      </c>
      <c r="R63" s="1" t="s">
        <v>26</v>
      </c>
    </row>
    <row r="64" spans="1:18" x14ac:dyDescent="0.25">
      <c r="A64" s="2" t="s">
        <v>25</v>
      </c>
      <c r="B64" s="2">
        <v>1808</v>
      </c>
      <c r="C64" s="3">
        <v>44135</v>
      </c>
      <c r="D64" s="2" t="str">
        <f>"004064825383"</f>
        <v>004064825383</v>
      </c>
      <c r="E64" s="3">
        <v>44111</v>
      </c>
      <c r="F64" s="2">
        <v>0</v>
      </c>
      <c r="G64" s="2">
        <v>0</v>
      </c>
      <c r="H64" s="3">
        <v>44135</v>
      </c>
      <c r="I64" s="3">
        <v>44146</v>
      </c>
      <c r="J64" s="2" t="s">
        <v>17</v>
      </c>
      <c r="K64" s="2">
        <v>66.66</v>
      </c>
      <c r="L64" s="2">
        <v>12.02</v>
      </c>
      <c r="M64" s="2">
        <v>54.64</v>
      </c>
      <c r="N64" s="2">
        <v>-11</v>
      </c>
      <c r="O64" s="4">
        <f t="shared" si="0"/>
        <v>-601.04</v>
      </c>
      <c r="R64" s="1" t="s">
        <v>26</v>
      </c>
    </row>
    <row r="65" spans="1:18" x14ac:dyDescent="0.25">
      <c r="A65" s="2" t="s">
        <v>25</v>
      </c>
      <c r="B65" s="2">
        <v>1808</v>
      </c>
      <c r="C65" s="3">
        <v>44135</v>
      </c>
      <c r="D65" s="2" t="str">
        <f>"004064825354"</f>
        <v>004064825354</v>
      </c>
      <c r="E65" s="3">
        <v>44111</v>
      </c>
      <c r="F65" s="2">
        <v>0</v>
      </c>
      <c r="G65" s="2">
        <v>0</v>
      </c>
      <c r="H65" s="3">
        <v>44135</v>
      </c>
      <c r="I65" s="3">
        <v>44146</v>
      </c>
      <c r="J65" s="2" t="s">
        <v>17</v>
      </c>
      <c r="K65" s="2">
        <v>37.72</v>
      </c>
      <c r="L65" s="2">
        <v>6.8</v>
      </c>
      <c r="M65" s="2">
        <v>30.92</v>
      </c>
      <c r="N65" s="2">
        <v>-11</v>
      </c>
      <c r="O65" s="4">
        <f t="shared" si="0"/>
        <v>-340.12</v>
      </c>
      <c r="R65" s="1" t="s">
        <v>26</v>
      </c>
    </row>
    <row r="66" spans="1:18" x14ac:dyDescent="0.25">
      <c r="A66" s="2" t="s">
        <v>25</v>
      </c>
      <c r="B66" s="2">
        <v>1809</v>
      </c>
      <c r="C66" s="3">
        <v>44135</v>
      </c>
      <c r="D66" s="2" t="str">
        <f>"004064825364"</f>
        <v>004064825364</v>
      </c>
      <c r="E66" s="3">
        <v>44111</v>
      </c>
      <c r="F66" s="2">
        <v>0</v>
      </c>
      <c r="G66" s="2">
        <v>0</v>
      </c>
      <c r="H66" s="3">
        <v>44135</v>
      </c>
      <c r="I66" s="3">
        <v>44146</v>
      </c>
      <c r="J66" s="2" t="s">
        <v>17</v>
      </c>
      <c r="K66" s="2">
        <v>335.9</v>
      </c>
      <c r="L66" s="2">
        <v>60.57</v>
      </c>
      <c r="M66" s="2">
        <v>275.33</v>
      </c>
      <c r="N66" s="2">
        <v>-11</v>
      </c>
      <c r="O66" s="4">
        <f t="shared" si="0"/>
        <v>-3028.6299999999997</v>
      </c>
      <c r="R66" s="1" t="s">
        <v>26</v>
      </c>
    </row>
    <row r="67" spans="1:18" x14ac:dyDescent="0.25">
      <c r="A67" s="2" t="s">
        <v>25</v>
      </c>
      <c r="B67" s="2">
        <v>1808</v>
      </c>
      <c r="C67" s="3">
        <v>44135</v>
      </c>
      <c r="D67" s="2" t="str">
        <f>"004064825400"</f>
        <v>004064825400</v>
      </c>
      <c r="E67" s="3">
        <v>44111</v>
      </c>
      <c r="F67" s="2">
        <v>0</v>
      </c>
      <c r="G67" s="2">
        <v>0</v>
      </c>
      <c r="H67" s="3">
        <v>44135</v>
      </c>
      <c r="I67" s="3">
        <v>44146</v>
      </c>
      <c r="J67" s="2" t="s">
        <v>17</v>
      </c>
      <c r="K67" s="2">
        <v>55.38</v>
      </c>
      <c r="L67" s="2">
        <v>9.99</v>
      </c>
      <c r="M67" s="2">
        <v>45.39</v>
      </c>
      <c r="N67" s="2">
        <v>-11</v>
      </c>
      <c r="O67" s="4">
        <f t="shared" ref="O67:O130" si="1">+M67*N67</f>
        <v>-499.29</v>
      </c>
      <c r="R67" s="1" t="s">
        <v>26</v>
      </c>
    </row>
    <row r="68" spans="1:18" x14ac:dyDescent="0.25">
      <c r="A68" s="2" t="s">
        <v>25</v>
      </c>
      <c r="B68" s="2">
        <v>2026</v>
      </c>
      <c r="C68" s="3">
        <v>44169</v>
      </c>
      <c r="D68" s="2" t="str">
        <f>"004076532396"</f>
        <v>004076532396</v>
      </c>
      <c r="E68" s="3">
        <v>44146</v>
      </c>
      <c r="F68" s="2">
        <v>0</v>
      </c>
      <c r="G68" s="2">
        <v>0</v>
      </c>
      <c r="H68" s="3">
        <v>44170</v>
      </c>
      <c r="I68" s="3">
        <v>44181</v>
      </c>
      <c r="J68" s="2" t="s">
        <v>17</v>
      </c>
      <c r="K68" s="2">
        <v>80.67</v>
      </c>
      <c r="L68" s="2">
        <v>14.55</v>
      </c>
      <c r="M68" s="2">
        <v>66.12</v>
      </c>
      <c r="N68" s="2">
        <v>-11</v>
      </c>
      <c r="O68" s="4">
        <f t="shared" si="1"/>
        <v>-727.32</v>
      </c>
      <c r="R68" s="1" t="s">
        <v>26</v>
      </c>
    </row>
    <row r="69" spans="1:18" x14ac:dyDescent="0.25">
      <c r="A69" s="2" t="s">
        <v>25</v>
      </c>
      <c r="B69" s="2">
        <v>1808</v>
      </c>
      <c r="C69" s="3">
        <v>44135</v>
      </c>
      <c r="D69" s="2" t="str">
        <f>"004064825394"</f>
        <v>004064825394</v>
      </c>
      <c r="E69" s="3">
        <v>44111</v>
      </c>
      <c r="F69" s="2">
        <v>0</v>
      </c>
      <c r="G69" s="2">
        <v>0</v>
      </c>
      <c r="H69" s="3">
        <v>44135</v>
      </c>
      <c r="I69" s="3">
        <v>44146</v>
      </c>
      <c r="J69" s="2" t="s">
        <v>17</v>
      </c>
      <c r="K69" s="2">
        <v>68.040000000000006</v>
      </c>
      <c r="L69" s="2">
        <v>12.27</v>
      </c>
      <c r="M69" s="2">
        <v>55.77</v>
      </c>
      <c r="N69" s="2">
        <v>-11</v>
      </c>
      <c r="O69" s="4">
        <f t="shared" si="1"/>
        <v>-613.47</v>
      </c>
      <c r="R69" s="1" t="s">
        <v>26</v>
      </c>
    </row>
    <row r="70" spans="1:18" x14ac:dyDescent="0.25">
      <c r="A70" s="2" t="s">
        <v>25</v>
      </c>
      <c r="B70" s="2">
        <v>2036</v>
      </c>
      <c r="C70" s="3">
        <v>44169</v>
      </c>
      <c r="D70" s="2" t="str">
        <f>"004076532397"</f>
        <v>004076532397</v>
      </c>
      <c r="E70" s="3">
        <v>44146</v>
      </c>
      <c r="F70" s="2">
        <v>0</v>
      </c>
      <c r="G70" s="2">
        <v>0</v>
      </c>
      <c r="H70" s="3">
        <v>44170</v>
      </c>
      <c r="I70" s="3">
        <v>44181</v>
      </c>
      <c r="J70" s="2" t="s">
        <v>17</v>
      </c>
      <c r="K70" s="2">
        <v>497.77</v>
      </c>
      <c r="L70" s="2">
        <v>89.76</v>
      </c>
      <c r="M70" s="2">
        <v>408.01</v>
      </c>
      <c r="N70" s="2">
        <v>-11</v>
      </c>
      <c r="O70" s="4">
        <f t="shared" si="1"/>
        <v>-4488.1099999999997</v>
      </c>
      <c r="R70" s="1" t="s">
        <v>26</v>
      </c>
    </row>
    <row r="71" spans="1:18" x14ac:dyDescent="0.25">
      <c r="A71" s="2" t="s">
        <v>25</v>
      </c>
      <c r="B71" s="2">
        <v>1808</v>
      </c>
      <c r="C71" s="3">
        <v>44135</v>
      </c>
      <c r="D71" s="2" t="str">
        <f>"004064825392"</f>
        <v>004064825392</v>
      </c>
      <c r="E71" s="3">
        <v>44111</v>
      </c>
      <c r="F71" s="2">
        <v>0</v>
      </c>
      <c r="G71" s="2">
        <v>0</v>
      </c>
      <c r="H71" s="3">
        <v>44135</v>
      </c>
      <c r="I71" s="3">
        <v>44146</v>
      </c>
      <c r="J71" s="2" t="s">
        <v>17</v>
      </c>
      <c r="K71" s="2">
        <v>41.87</v>
      </c>
      <c r="L71" s="2">
        <v>7.55</v>
      </c>
      <c r="M71" s="2">
        <v>34.32</v>
      </c>
      <c r="N71" s="2">
        <v>-11</v>
      </c>
      <c r="O71" s="4">
        <f t="shared" si="1"/>
        <v>-377.52</v>
      </c>
      <c r="R71" s="1" t="s">
        <v>26</v>
      </c>
    </row>
    <row r="72" spans="1:18" x14ac:dyDescent="0.25">
      <c r="A72" s="2" t="s">
        <v>25</v>
      </c>
      <c r="B72" s="2">
        <v>1808</v>
      </c>
      <c r="C72" s="3">
        <v>44135</v>
      </c>
      <c r="D72" s="2" t="str">
        <f>"004064825382"</f>
        <v>004064825382</v>
      </c>
      <c r="E72" s="3">
        <v>44111</v>
      </c>
      <c r="F72" s="2">
        <v>0</v>
      </c>
      <c r="G72" s="2">
        <v>0</v>
      </c>
      <c r="H72" s="3">
        <v>44135</v>
      </c>
      <c r="I72" s="3">
        <v>44146</v>
      </c>
      <c r="J72" s="2" t="s">
        <v>17</v>
      </c>
      <c r="K72" s="2">
        <v>83.36</v>
      </c>
      <c r="L72" s="2">
        <v>15.03</v>
      </c>
      <c r="M72" s="2">
        <v>68.33</v>
      </c>
      <c r="N72" s="2">
        <v>-11</v>
      </c>
      <c r="O72" s="4">
        <f t="shared" si="1"/>
        <v>-751.63</v>
      </c>
      <c r="R72" s="1" t="s">
        <v>26</v>
      </c>
    </row>
    <row r="73" spans="1:18" x14ac:dyDescent="0.25">
      <c r="A73" s="2" t="s">
        <v>25</v>
      </c>
      <c r="B73" s="2">
        <v>1808</v>
      </c>
      <c r="C73" s="3">
        <v>44135</v>
      </c>
      <c r="D73" s="2" t="str">
        <f>"004064825361"</f>
        <v>004064825361</v>
      </c>
      <c r="E73" s="3">
        <v>44111</v>
      </c>
      <c r="F73" s="2">
        <v>0</v>
      </c>
      <c r="G73" s="2">
        <v>0</v>
      </c>
      <c r="H73" s="3">
        <v>44135</v>
      </c>
      <c r="I73" s="3">
        <v>44146</v>
      </c>
      <c r="J73" s="2" t="s">
        <v>17</v>
      </c>
      <c r="K73" s="2">
        <v>15.58</v>
      </c>
      <c r="L73" s="2">
        <v>2.81</v>
      </c>
      <c r="M73" s="2">
        <v>12.77</v>
      </c>
      <c r="N73" s="2">
        <v>-11</v>
      </c>
      <c r="O73" s="4">
        <f t="shared" si="1"/>
        <v>-140.47</v>
      </c>
      <c r="R73" s="1" t="s">
        <v>26</v>
      </c>
    </row>
    <row r="74" spans="1:18" x14ac:dyDescent="0.25">
      <c r="A74" s="2" t="s">
        <v>25</v>
      </c>
      <c r="B74" s="2">
        <v>1808</v>
      </c>
      <c r="C74" s="3">
        <v>44135</v>
      </c>
      <c r="D74" s="2" t="str">
        <f>"004064825396"</f>
        <v>004064825396</v>
      </c>
      <c r="E74" s="3">
        <v>44111</v>
      </c>
      <c r="F74" s="2">
        <v>0</v>
      </c>
      <c r="G74" s="2">
        <v>0</v>
      </c>
      <c r="H74" s="3">
        <v>44135</v>
      </c>
      <c r="I74" s="3">
        <v>44146</v>
      </c>
      <c r="J74" s="2" t="s">
        <v>17</v>
      </c>
      <c r="K74" s="2">
        <v>131.03</v>
      </c>
      <c r="L74" s="2">
        <v>23.63</v>
      </c>
      <c r="M74" s="2">
        <v>107.4</v>
      </c>
      <c r="N74" s="2">
        <v>-11</v>
      </c>
      <c r="O74" s="4">
        <f t="shared" si="1"/>
        <v>-1181.4000000000001</v>
      </c>
      <c r="R74" s="1" t="s">
        <v>26</v>
      </c>
    </row>
    <row r="75" spans="1:18" x14ac:dyDescent="0.25">
      <c r="A75" s="2" t="s">
        <v>25</v>
      </c>
      <c r="B75" s="2">
        <v>1809</v>
      </c>
      <c r="C75" s="3">
        <v>44135</v>
      </c>
      <c r="D75" s="2" t="str">
        <f>"004064825370"</f>
        <v>004064825370</v>
      </c>
      <c r="E75" s="3">
        <v>44111</v>
      </c>
      <c r="F75" s="2">
        <v>0</v>
      </c>
      <c r="G75" s="2">
        <v>0</v>
      </c>
      <c r="H75" s="3">
        <v>44135</v>
      </c>
      <c r="I75" s="3">
        <v>44146</v>
      </c>
      <c r="J75" s="2" t="s">
        <v>17</v>
      </c>
      <c r="K75" s="2">
        <v>298.81</v>
      </c>
      <c r="L75" s="2">
        <v>53.88</v>
      </c>
      <c r="M75" s="2">
        <v>244.93</v>
      </c>
      <c r="N75" s="2">
        <v>-11</v>
      </c>
      <c r="O75" s="4">
        <f t="shared" si="1"/>
        <v>-2694.23</v>
      </c>
      <c r="R75" s="1" t="s">
        <v>26</v>
      </c>
    </row>
    <row r="76" spans="1:18" x14ac:dyDescent="0.25">
      <c r="A76" s="2" t="s">
        <v>25</v>
      </c>
      <c r="B76" s="2">
        <v>1808</v>
      </c>
      <c r="C76" s="3">
        <v>44135</v>
      </c>
      <c r="D76" s="2" t="str">
        <f>"004064825377"</f>
        <v>004064825377</v>
      </c>
      <c r="E76" s="3">
        <v>44111</v>
      </c>
      <c r="F76" s="2">
        <v>0</v>
      </c>
      <c r="G76" s="2">
        <v>0</v>
      </c>
      <c r="H76" s="3">
        <v>44135</v>
      </c>
      <c r="I76" s="3">
        <v>44146</v>
      </c>
      <c r="J76" s="2" t="s">
        <v>17</v>
      </c>
      <c r="K76" s="2">
        <v>13.55</v>
      </c>
      <c r="L76" s="2">
        <v>2.44</v>
      </c>
      <c r="M76" s="2">
        <v>11.11</v>
      </c>
      <c r="N76" s="2">
        <v>-11</v>
      </c>
      <c r="O76" s="4">
        <f t="shared" si="1"/>
        <v>-122.21</v>
      </c>
      <c r="R76" s="1" t="s">
        <v>26</v>
      </c>
    </row>
    <row r="77" spans="1:18" x14ac:dyDescent="0.25">
      <c r="A77" s="2" t="s">
        <v>25</v>
      </c>
      <c r="B77" s="2">
        <v>1793</v>
      </c>
      <c r="C77" s="3">
        <v>44135</v>
      </c>
      <c r="D77" s="2" t="str">
        <f>"004064825401"</f>
        <v>004064825401</v>
      </c>
      <c r="E77" s="3">
        <v>44111</v>
      </c>
      <c r="F77" s="2">
        <v>0</v>
      </c>
      <c r="G77" s="2">
        <v>0</v>
      </c>
      <c r="H77" s="3">
        <v>44135</v>
      </c>
      <c r="I77" s="3">
        <v>44146</v>
      </c>
      <c r="J77" s="2" t="s">
        <v>17</v>
      </c>
      <c r="K77" s="2">
        <v>80.650000000000006</v>
      </c>
      <c r="L77" s="2">
        <v>14.54</v>
      </c>
      <c r="M77" s="2">
        <v>66.11</v>
      </c>
      <c r="N77" s="2">
        <v>-11</v>
      </c>
      <c r="O77" s="4">
        <f t="shared" si="1"/>
        <v>-727.21</v>
      </c>
      <c r="R77" s="1" t="s">
        <v>26</v>
      </c>
    </row>
    <row r="78" spans="1:18" x14ac:dyDescent="0.25">
      <c r="A78" s="2" t="s">
        <v>25</v>
      </c>
      <c r="B78" s="2">
        <v>1634</v>
      </c>
      <c r="C78" s="3">
        <v>44113</v>
      </c>
      <c r="D78" s="2" t="str">
        <f>"004064516676"</f>
        <v>004064516676</v>
      </c>
      <c r="E78" s="3">
        <v>44090</v>
      </c>
      <c r="F78" s="2">
        <v>0</v>
      </c>
      <c r="G78" s="2">
        <v>0</v>
      </c>
      <c r="H78" s="3">
        <v>44114</v>
      </c>
      <c r="I78" s="3">
        <v>44125</v>
      </c>
      <c r="J78" s="2" t="s">
        <v>17</v>
      </c>
      <c r="K78" s="2">
        <v>558.83000000000004</v>
      </c>
      <c r="L78" s="2">
        <v>100.77</v>
      </c>
      <c r="M78" s="2">
        <v>458.06</v>
      </c>
      <c r="N78" s="2">
        <v>-11</v>
      </c>
      <c r="O78" s="4">
        <f t="shared" si="1"/>
        <v>-5038.66</v>
      </c>
      <c r="R78" s="1" t="s">
        <v>26</v>
      </c>
    </row>
    <row r="79" spans="1:18" x14ac:dyDescent="0.25">
      <c r="A79" s="2" t="s">
        <v>25</v>
      </c>
      <c r="B79" s="2">
        <v>1808</v>
      </c>
      <c r="C79" s="3">
        <v>44135</v>
      </c>
      <c r="D79" s="2" t="str">
        <f>"004064825393"</f>
        <v>004064825393</v>
      </c>
      <c r="E79" s="3">
        <v>44111</v>
      </c>
      <c r="F79" s="2">
        <v>0</v>
      </c>
      <c r="G79" s="2">
        <v>0</v>
      </c>
      <c r="H79" s="3">
        <v>44135</v>
      </c>
      <c r="I79" s="3">
        <v>44146</v>
      </c>
      <c r="J79" s="2" t="s">
        <v>17</v>
      </c>
      <c r="K79" s="2">
        <v>41.87</v>
      </c>
      <c r="L79" s="2">
        <v>7.55</v>
      </c>
      <c r="M79" s="2">
        <v>34.32</v>
      </c>
      <c r="N79" s="2">
        <v>-11</v>
      </c>
      <c r="O79" s="4">
        <f t="shared" si="1"/>
        <v>-377.52</v>
      </c>
      <c r="R79" s="1" t="s">
        <v>26</v>
      </c>
    </row>
    <row r="80" spans="1:18" x14ac:dyDescent="0.25">
      <c r="A80" s="2" t="s">
        <v>25</v>
      </c>
      <c r="B80" s="2">
        <v>1808</v>
      </c>
      <c r="C80" s="3">
        <v>44135</v>
      </c>
      <c r="D80" s="2" t="str">
        <f>"004064825372"</f>
        <v>004064825372</v>
      </c>
      <c r="E80" s="3">
        <v>44111</v>
      </c>
      <c r="F80" s="2">
        <v>0</v>
      </c>
      <c r="G80" s="2">
        <v>0</v>
      </c>
      <c r="H80" s="3">
        <v>44135</v>
      </c>
      <c r="I80" s="3">
        <v>44146</v>
      </c>
      <c r="J80" s="2" t="s">
        <v>17</v>
      </c>
      <c r="K80" s="2">
        <v>20.95</v>
      </c>
      <c r="L80" s="2">
        <v>3.78</v>
      </c>
      <c r="M80" s="2">
        <v>17.170000000000002</v>
      </c>
      <c r="N80" s="2">
        <v>-11</v>
      </c>
      <c r="O80" s="4">
        <f t="shared" si="1"/>
        <v>-188.87</v>
      </c>
      <c r="R80" s="1" t="s">
        <v>26</v>
      </c>
    </row>
    <row r="81" spans="1:18" x14ac:dyDescent="0.25">
      <c r="A81" s="2" t="s">
        <v>25</v>
      </c>
      <c r="B81" s="2">
        <v>1809</v>
      </c>
      <c r="C81" s="3">
        <v>44135</v>
      </c>
      <c r="D81" s="2" t="str">
        <f>"004064825355"</f>
        <v>004064825355</v>
      </c>
      <c r="E81" s="3">
        <v>44111</v>
      </c>
      <c r="F81" s="2">
        <v>0</v>
      </c>
      <c r="G81" s="2">
        <v>0</v>
      </c>
      <c r="H81" s="3">
        <v>44135</v>
      </c>
      <c r="I81" s="3">
        <v>44146</v>
      </c>
      <c r="J81" s="2" t="s">
        <v>17</v>
      </c>
      <c r="K81" s="2">
        <v>156.71</v>
      </c>
      <c r="L81" s="2">
        <v>28.26</v>
      </c>
      <c r="M81" s="2">
        <v>128.44999999999999</v>
      </c>
      <c r="N81" s="2">
        <v>-11</v>
      </c>
      <c r="O81" s="4">
        <f t="shared" si="1"/>
        <v>-1412.9499999999998</v>
      </c>
      <c r="R81" s="1" t="s">
        <v>26</v>
      </c>
    </row>
    <row r="82" spans="1:18" x14ac:dyDescent="0.25">
      <c r="A82" s="2" t="s">
        <v>25</v>
      </c>
      <c r="B82" s="2">
        <v>1808</v>
      </c>
      <c r="C82" s="3">
        <v>44135</v>
      </c>
      <c r="D82" s="2" t="str">
        <f>"004064825397"</f>
        <v>004064825397</v>
      </c>
      <c r="E82" s="3">
        <v>44111</v>
      </c>
      <c r="F82" s="2">
        <v>0</v>
      </c>
      <c r="G82" s="2">
        <v>0</v>
      </c>
      <c r="H82" s="3">
        <v>44135</v>
      </c>
      <c r="I82" s="3">
        <v>44146</v>
      </c>
      <c r="J82" s="2" t="s">
        <v>17</v>
      </c>
      <c r="K82" s="2">
        <v>16.8</v>
      </c>
      <c r="L82" s="2">
        <v>3.03</v>
      </c>
      <c r="M82" s="2">
        <v>13.77</v>
      </c>
      <c r="N82" s="2">
        <v>-11</v>
      </c>
      <c r="O82" s="4">
        <f t="shared" si="1"/>
        <v>-151.47</v>
      </c>
      <c r="R82" s="1" t="s">
        <v>26</v>
      </c>
    </row>
    <row r="83" spans="1:18" x14ac:dyDescent="0.25">
      <c r="A83" s="2" t="s">
        <v>25</v>
      </c>
      <c r="B83" s="2">
        <v>1809</v>
      </c>
      <c r="C83" s="3">
        <v>44135</v>
      </c>
      <c r="D83" s="2" t="str">
        <f>"004064825362"</f>
        <v>004064825362</v>
      </c>
      <c r="E83" s="3">
        <v>44111</v>
      </c>
      <c r="F83" s="2">
        <v>0</v>
      </c>
      <c r="G83" s="2">
        <v>0</v>
      </c>
      <c r="H83" s="3">
        <v>44135</v>
      </c>
      <c r="I83" s="3">
        <v>44146</v>
      </c>
      <c r="J83" s="2" t="s">
        <v>17</v>
      </c>
      <c r="K83" s="2">
        <v>180.05</v>
      </c>
      <c r="L83" s="2">
        <v>32.47</v>
      </c>
      <c r="M83" s="2">
        <v>147.58000000000001</v>
      </c>
      <c r="N83" s="2">
        <v>-11</v>
      </c>
      <c r="O83" s="4">
        <f t="shared" si="1"/>
        <v>-1623.38</v>
      </c>
      <c r="R83" s="1" t="s">
        <v>26</v>
      </c>
    </row>
    <row r="84" spans="1:18" x14ac:dyDescent="0.25">
      <c r="A84" s="2" t="s">
        <v>25</v>
      </c>
      <c r="B84" s="2">
        <v>1800</v>
      </c>
      <c r="C84" s="3">
        <v>44135</v>
      </c>
      <c r="D84" s="2" t="str">
        <f>"004064825359"</f>
        <v>004064825359</v>
      </c>
      <c r="E84" s="3">
        <v>44111</v>
      </c>
      <c r="F84" s="2">
        <v>0</v>
      </c>
      <c r="G84" s="2">
        <v>0</v>
      </c>
      <c r="H84" s="3">
        <v>44135</v>
      </c>
      <c r="I84" s="3">
        <v>44146</v>
      </c>
      <c r="J84" s="2" t="s">
        <v>17</v>
      </c>
      <c r="K84" s="2">
        <v>442.75</v>
      </c>
      <c r="L84" s="2">
        <v>79.84</v>
      </c>
      <c r="M84" s="2">
        <v>362.91</v>
      </c>
      <c r="N84" s="2">
        <v>-11</v>
      </c>
      <c r="O84" s="4">
        <f t="shared" si="1"/>
        <v>-3992.01</v>
      </c>
      <c r="R84" s="1" t="s">
        <v>26</v>
      </c>
    </row>
    <row r="85" spans="1:18" x14ac:dyDescent="0.25">
      <c r="A85" s="2" t="s">
        <v>25</v>
      </c>
      <c r="B85" s="2">
        <v>1808</v>
      </c>
      <c r="C85" s="3">
        <v>44135</v>
      </c>
      <c r="D85" s="2" t="str">
        <f>"004064825365"</f>
        <v>004064825365</v>
      </c>
      <c r="E85" s="3">
        <v>44111</v>
      </c>
      <c r="F85" s="2">
        <v>0</v>
      </c>
      <c r="G85" s="2">
        <v>0</v>
      </c>
      <c r="H85" s="3">
        <v>44135</v>
      </c>
      <c r="I85" s="3">
        <v>44146</v>
      </c>
      <c r="J85" s="2" t="s">
        <v>17</v>
      </c>
      <c r="K85" s="2">
        <v>19.48</v>
      </c>
      <c r="L85" s="2">
        <v>3.51</v>
      </c>
      <c r="M85" s="2">
        <v>15.97</v>
      </c>
      <c r="N85" s="2">
        <v>-11</v>
      </c>
      <c r="O85" s="4">
        <f t="shared" si="1"/>
        <v>-175.67000000000002</v>
      </c>
      <c r="R85" s="1" t="s">
        <v>26</v>
      </c>
    </row>
    <row r="86" spans="1:18" x14ac:dyDescent="0.25">
      <c r="A86" s="2" t="s">
        <v>25</v>
      </c>
      <c r="B86" s="2">
        <v>1808</v>
      </c>
      <c r="C86" s="3">
        <v>44135</v>
      </c>
      <c r="D86" s="2" t="str">
        <f>"004064825366"</f>
        <v>004064825366</v>
      </c>
      <c r="E86" s="3">
        <v>44111</v>
      </c>
      <c r="F86" s="2">
        <v>0</v>
      </c>
      <c r="G86" s="2">
        <v>0</v>
      </c>
      <c r="H86" s="3">
        <v>44135</v>
      </c>
      <c r="I86" s="3">
        <v>44146</v>
      </c>
      <c r="J86" s="2" t="s">
        <v>17</v>
      </c>
      <c r="K86" s="2">
        <v>6.55</v>
      </c>
      <c r="L86" s="2">
        <v>1.18</v>
      </c>
      <c r="M86" s="2">
        <v>5.37</v>
      </c>
      <c r="N86" s="2">
        <v>-11</v>
      </c>
      <c r="O86" s="4">
        <f t="shared" si="1"/>
        <v>-59.07</v>
      </c>
      <c r="R86" s="1" t="s">
        <v>26</v>
      </c>
    </row>
    <row r="87" spans="1:18" x14ac:dyDescent="0.25">
      <c r="A87" s="2" t="s">
        <v>25</v>
      </c>
      <c r="B87" s="2">
        <v>1793</v>
      </c>
      <c r="C87" s="3">
        <v>44135</v>
      </c>
      <c r="D87" s="2" t="str">
        <f>"004064825368"</f>
        <v>004064825368</v>
      </c>
      <c r="E87" s="3">
        <v>44111</v>
      </c>
      <c r="F87" s="2">
        <v>0</v>
      </c>
      <c r="G87" s="2">
        <v>0</v>
      </c>
      <c r="H87" s="3">
        <v>44135</v>
      </c>
      <c r="I87" s="3">
        <v>44146</v>
      </c>
      <c r="J87" s="2" t="s">
        <v>17</v>
      </c>
      <c r="K87" s="2">
        <v>77.64</v>
      </c>
      <c r="L87" s="2">
        <v>14</v>
      </c>
      <c r="M87" s="2">
        <v>63.64</v>
      </c>
      <c r="N87" s="2">
        <v>-11</v>
      </c>
      <c r="O87" s="4">
        <f t="shared" si="1"/>
        <v>-700.04</v>
      </c>
      <c r="R87" s="1" t="s">
        <v>26</v>
      </c>
    </row>
    <row r="88" spans="1:18" x14ac:dyDescent="0.25">
      <c r="A88" s="2" t="s">
        <v>23</v>
      </c>
      <c r="B88" s="2">
        <v>1796</v>
      </c>
      <c r="C88" s="3">
        <v>44135</v>
      </c>
      <c r="D88" s="2" t="str">
        <f>"20208"</f>
        <v>20208</v>
      </c>
      <c r="E88" s="3">
        <v>44117</v>
      </c>
      <c r="F88" s="2">
        <v>0</v>
      </c>
      <c r="G88" s="2">
        <v>0</v>
      </c>
      <c r="H88" s="3">
        <v>44135</v>
      </c>
      <c r="I88" s="3">
        <v>44147</v>
      </c>
      <c r="J88" s="2" t="s">
        <v>17</v>
      </c>
      <c r="K88" s="4">
        <v>1050.03</v>
      </c>
      <c r="L88" s="2">
        <v>189.35</v>
      </c>
      <c r="M88" s="2">
        <v>860.68</v>
      </c>
      <c r="N88" s="2">
        <v>-12</v>
      </c>
      <c r="O88" s="4">
        <f t="shared" si="1"/>
        <v>-10328.16</v>
      </c>
      <c r="R88" s="1" t="s">
        <v>24</v>
      </c>
    </row>
    <row r="89" spans="1:18" x14ac:dyDescent="0.25">
      <c r="A89" s="2" t="s">
        <v>40</v>
      </c>
      <c r="B89" s="2">
        <v>1883</v>
      </c>
      <c r="C89" s="3">
        <v>44155</v>
      </c>
      <c r="D89" s="2" t="str">
        <f>"20206204"</f>
        <v>20206204</v>
      </c>
      <c r="E89" s="3">
        <v>44135</v>
      </c>
      <c r="F89" s="2">
        <v>0</v>
      </c>
      <c r="G89" s="2">
        <v>0</v>
      </c>
      <c r="H89" s="3">
        <v>44156</v>
      </c>
      <c r="I89" s="3">
        <v>44168</v>
      </c>
      <c r="J89" s="2" t="s">
        <v>17</v>
      </c>
      <c r="K89" s="2">
        <v>159.99</v>
      </c>
      <c r="L89" s="2">
        <v>28.85</v>
      </c>
      <c r="M89" s="2">
        <v>131.13999999999999</v>
      </c>
      <c r="N89" s="2">
        <v>-12</v>
      </c>
      <c r="O89" s="4">
        <f t="shared" si="1"/>
        <v>-1573.6799999999998</v>
      </c>
      <c r="R89" s="1" t="s">
        <v>41</v>
      </c>
    </row>
    <row r="90" spans="1:18" x14ac:dyDescent="0.25">
      <c r="A90" s="2" t="s">
        <v>25</v>
      </c>
      <c r="B90" s="2">
        <v>2038</v>
      </c>
      <c r="C90" s="3">
        <v>44169</v>
      </c>
      <c r="D90" s="2" t="str">
        <f>"004077538034"</f>
        <v>004077538034</v>
      </c>
      <c r="E90" s="3">
        <v>44147</v>
      </c>
      <c r="F90" s="2">
        <v>0</v>
      </c>
      <c r="G90" s="2">
        <v>0</v>
      </c>
      <c r="H90" s="3">
        <v>44170</v>
      </c>
      <c r="I90" s="3">
        <v>44182</v>
      </c>
      <c r="J90" s="2" t="s">
        <v>17</v>
      </c>
      <c r="K90" s="2">
        <v>163.31</v>
      </c>
      <c r="L90" s="2">
        <v>29.45</v>
      </c>
      <c r="M90" s="2">
        <v>133.86000000000001</v>
      </c>
      <c r="N90" s="2">
        <v>-12</v>
      </c>
      <c r="O90" s="4">
        <f t="shared" si="1"/>
        <v>-1606.3200000000002</v>
      </c>
      <c r="R90" s="1" t="s">
        <v>26</v>
      </c>
    </row>
    <row r="91" spans="1:18" x14ac:dyDescent="0.25">
      <c r="A91" s="2" t="s">
        <v>25</v>
      </c>
      <c r="B91" s="2">
        <v>2038</v>
      </c>
      <c r="C91" s="3">
        <v>44169</v>
      </c>
      <c r="D91" s="2" t="str">
        <f>"004077538035"</f>
        <v>004077538035</v>
      </c>
      <c r="E91" s="3">
        <v>44147</v>
      </c>
      <c r="F91" s="2">
        <v>0</v>
      </c>
      <c r="G91" s="2">
        <v>0</v>
      </c>
      <c r="H91" s="3">
        <v>44170</v>
      </c>
      <c r="I91" s="3">
        <v>44182</v>
      </c>
      <c r="J91" s="2" t="s">
        <v>17</v>
      </c>
      <c r="K91" s="2">
        <v>15.2</v>
      </c>
      <c r="L91" s="2">
        <v>2.74</v>
      </c>
      <c r="M91" s="2">
        <v>12.46</v>
      </c>
      <c r="N91" s="2">
        <v>-12</v>
      </c>
      <c r="O91" s="4">
        <f t="shared" si="1"/>
        <v>-149.52000000000001</v>
      </c>
      <c r="R91" s="1" t="s">
        <v>26</v>
      </c>
    </row>
    <row r="92" spans="1:18" x14ac:dyDescent="0.25">
      <c r="A92" s="2" t="s">
        <v>25</v>
      </c>
      <c r="B92" s="2">
        <v>2032</v>
      </c>
      <c r="C92" s="3">
        <v>44169</v>
      </c>
      <c r="D92" s="2" t="str">
        <f>"004077538033"</f>
        <v>004077538033</v>
      </c>
      <c r="E92" s="3">
        <v>44147</v>
      </c>
      <c r="F92" s="2">
        <v>0</v>
      </c>
      <c r="G92" s="2">
        <v>0</v>
      </c>
      <c r="H92" s="3">
        <v>44170</v>
      </c>
      <c r="I92" s="3">
        <v>44182</v>
      </c>
      <c r="J92" s="2" t="s">
        <v>17</v>
      </c>
      <c r="K92" s="2">
        <v>144.96</v>
      </c>
      <c r="L92" s="2">
        <v>26.14</v>
      </c>
      <c r="M92" s="2">
        <v>118.82</v>
      </c>
      <c r="N92" s="2">
        <v>-12</v>
      </c>
      <c r="O92" s="4">
        <f t="shared" si="1"/>
        <v>-1425.84</v>
      </c>
      <c r="R92" s="1" t="s">
        <v>26</v>
      </c>
    </row>
    <row r="93" spans="1:18" x14ac:dyDescent="0.25">
      <c r="A93" s="2" t="s">
        <v>25</v>
      </c>
      <c r="B93" s="2">
        <v>2026</v>
      </c>
      <c r="C93" s="3">
        <v>44169</v>
      </c>
      <c r="D93" s="2" t="str">
        <f>"004077538032"</f>
        <v>004077538032</v>
      </c>
      <c r="E93" s="3">
        <v>44147</v>
      </c>
      <c r="F93" s="2">
        <v>0</v>
      </c>
      <c r="G93" s="2">
        <v>0</v>
      </c>
      <c r="H93" s="3">
        <v>44170</v>
      </c>
      <c r="I93" s="3">
        <v>44182</v>
      </c>
      <c r="J93" s="2" t="s">
        <v>17</v>
      </c>
      <c r="K93" s="2">
        <v>33.54</v>
      </c>
      <c r="L93" s="2">
        <v>6.05</v>
      </c>
      <c r="M93" s="2">
        <v>27.49</v>
      </c>
      <c r="N93" s="2">
        <v>-12</v>
      </c>
      <c r="O93" s="4">
        <f t="shared" si="1"/>
        <v>-329.88</v>
      </c>
      <c r="R93" s="1" t="s">
        <v>26</v>
      </c>
    </row>
    <row r="94" spans="1:18" x14ac:dyDescent="0.25">
      <c r="A94" s="2" t="s">
        <v>25</v>
      </c>
      <c r="B94" s="2">
        <v>2031</v>
      </c>
      <c r="C94" s="3">
        <v>44169</v>
      </c>
      <c r="D94" s="2" t="str">
        <f>"004077538031"</f>
        <v>004077538031</v>
      </c>
      <c r="E94" s="3">
        <v>44147</v>
      </c>
      <c r="F94" s="2">
        <v>0</v>
      </c>
      <c r="G94" s="2">
        <v>0</v>
      </c>
      <c r="H94" s="3">
        <v>44170</v>
      </c>
      <c r="I94" s="3">
        <v>44182</v>
      </c>
      <c r="J94" s="2" t="s">
        <v>17</v>
      </c>
      <c r="K94" s="2">
        <v>380.35</v>
      </c>
      <c r="L94" s="2">
        <v>68.59</v>
      </c>
      <c r="M94" s="2">
        <v>311.76</v>
      </c>
      <c r="N94" s="2">
        <v>-12</v>
      </c>
      <c r="O94" s="4">
        <f t="shared" si="1"/>
        <v>-3741.12</v>
      </c>
      <c r="R94" s="1" t="s">
        <v>26</v>
      </c>
    </row>
    <row r="95" spans="1:18" x14ac:dyDescent="0.25">
      <c r="A95" s="2" t="s">
        <v>42</v>
      </c>
      <c r="B95" s="2">
        <v>2177</v>
      </c>
      <c r="C95" s="3">
        <v>44183</v>
      </c>
      <c r="D95" s="2" t="s">
        <v>43</v>
      </c>
      <c r="E95" s="3">
        <v>44158</v>
      </c>
      <c r="F95" s="2">
        <v>0</v>
      </c>
      <c r="G95" s="2">
        <v>0</v>
      </c>
      <c r="H95" s="3">
        <v>44184</v>
      </c>
      <c r="I95" s="3">
        <v>44196</v>
      </c>
      <c r="J95" s="2" t="s">
        <v>17</v>
      </c>
      <c r="K95" s="4">
        <v>1099.07</v>
      </c>
      <c r="L95" s="2">
        <v>198.19</v>
      </c>
      <c r="M95" s="2">
        <v>900.88</v>
      </c>
      <c r="N95" s="2">
        <v>-12</v>
      </c>
      <c r="O95" s="4">
        <f t="shared" si="1"/>
        <v>-10810.56</v>
      </c>
      <c r="R95" s="1" t="s">
        <v>44</v>
      </c>
    </row>
    <row r="96" spans="1:18" ht="24" x14ac:dyDescent="0.25">
      <c r="A96" s="2" t="s">
        <v>45</v>
      </c>
      <c r="B96" s="2">
        <v>1828</v>
      </c>
      <c r="C96" s="3">
        <v>44141</v>
      </c>
      <c r="D96" s="2" t="str">
        <f>"11"</f>
        <v>11</v>
      </c>
      <c r="E96" s="3">
        <v>44114</v>
      </c>
      <c r="F96" s="2">
        <v>0</v>
      </c>
      <c r="G96" s="2">
        <v>0</v>
      </c>
      <c r="H96" s="3">
        <v>44142</v>
      </c>
      <c r="I96" s="3">
        <v>44155</v>
      </c>
      <c r="J96" s="2" t="s">
        <v>17</v>
      </c>
      <c r="K96" s="4">
        <v>3679.52</v>
      </c>
      <c r="L96" s="2">
        <v>0</v>
      </c>
      <c r="M96" s="4">
        <v>3679.52</v>
      </c>
      <c r="N96" s="2">
        <v>-13</v>
      </c>
      <c r="O96" s="4">
        <f t="shared" si="1"/>
        <v>-47833.760000000002</v>
      </c>
      <c r="R96" s="1" t="s">
        <v>46</v>
      </c>
    </row>
    <row r="97" spans="1:18" x14ac:dyDescent="0.25">
      <c r="A97" s="2" t="s">
        <v>25</v>
      </c>
      <c r="B97" s="2">
        <v>2036</v>
      </c>
      <c r="C97" s="3">
        <v>44169</v>
      </c>
      <c r="D97" s="2" t="str">
        <f>"004078366866"</f>
        <v>004078366866</v>
      </c>
      <c r="E97" s="3">
        <v>44148</v>
      </c>
      <c r="F97" s="2">
        <v>0</v>
      </c>
      <c r="G97" s="2">
        <v>0</v>
      </c>
      <c r="H97" s="3">
        <v>44170</v>
      </c>
      <c r="I97" s="3">
        <v>44183</v>
      </c>
      <c r="J97" s="2" t="s">
        <v>17</v>
      </c>
      <c r="K97" s="2">
        <v>265.29000000000002</v>
      </c>
      <c r="L97" s="2">
        <v>47.84</v>
      </c>
      <c r="M97" s="2">
        <v>217.45</v>
      </c>
      <c r="N97" s="2">
        <v>-13</v>
      </c>
      <c r="O97" s="4">
        <f t="shared" si="1"/>
        <v>-2826.85</v>
      </c>
      <c r="R97" s="1" t="s">
        <v>26</v>
      </c>
    </row>
    <row r="98" spans="1:18" x14ac:dyDescent="0.25">
      <c r="A98" s="2" t="s">
        <v>25</v>
      </c>
      <c r="B98" s="2">
        <v>2038</v>
      </c>
      <c r="C98" s="3">
        <v>44169</v>
      </c>
      <c r="D98" s="2" t="str">
        <f>"004078366865"</f>
        <v>004078366865</v>
      </c>
      <c r="E98" s="3">
        <v>44148</v>
      </c>
      <c r="F98" s="2">
        <v>0</v>
      </c>
      <c r="G98" s="2">
        <v>0</v>
      </c>
      <c r="H98" s="3">
        <v>44170</v>
      </c>
      <c r="I98" s="3">
        <v>44183</v>
      </c>
      <c r="J98" s="2" t="s">
        <v>17</v>
      </c>
      <c r="K98" s="2">
        <v>29.4</v>
      </c>
      <c r="L98" s="2">
        <v>5.3</v>
      </c>
      <c r="M98" s="2">
        <v>24.1</v>
      </c>
      <c r="N98" s="2">
        <v>-13</v>
      </c>
      <c r="O98" s="4">
        <f t="shared" si="1"/>
        <v>-313.3</v>
      </c>
      <c r="R98" s="1" t="s">
        <v>26</v>
      </c>
    </row>
    <row r="99" spans="1:18" x14ac:dyDescent="0.25">
      <c r="A99" s="2" t="s">
        <v>47</v>
      </c>
      <c r="B99" s="2">
        <v>1807</v>
      </c>
      <c r="C99" s="3">
        <v>44135</v>
      </c>
      <c r="D99" s="2" t="s">
        <v>48</v>
      </c>
      <c r="E99" s="3">
        <v>44116</v>
      </c>
      <c r="F99" s="2">
        <v>0</v>
      </c>
      <c r="G99" s="2">
        <v>0</v>
      </c>
      <c r="H99" s="3">
        <v>44135</v>
      </c>
      <c r="I99" s="3">
        <v>44148</v>
      </c>
      <c r="J99" s="2" t="s">
        <v>17</v>
      </c>
      <c r="K99" s="2">
        <v>298.5</v>
      </c>
      <c r="L99" s="2">
        <v>0</v>
      </c>
      <c r="M99" s="2">
        <v>298.5</v>
      </c>
      <c r="N99" s="2">
        <v>-13</v>
      </c>
      <c r="O99" s="4">
        <f t="shared" si="1"/>
        <v>-3880.5</v>
      </c>
      <c r="R99" s="1" t="s">
        <v>39</v>
      </c>
    </row>
    <row r="100" spans="1:18" ht="24" x14ac:dyDescent="0.25">
      <c r="A100" s="2" t="s">
        <v>31</v>
      </c>
      <c r="B100" s="2">
        <v>1762</v>
      </c>
      <c r="C100" s="3">
        <v>44128</v>
      </c>
      <c r="D100" s="2" t="s">
        <v>49</v>
      </c>
      <c r="E100" s="3">
        <v>44111</v>
      </c>
      <c r="F100" s="2">
        <v>0</v>
      </c>
      <c r="G100" s="2">
        <v>0</v>
      </c>
      <c r="H100" s="3">
        <v>44128</v>
      </c>
      <c r="I100" s="3">
        <v>44142</v>
      </c>
      <c r="J100" s="2" t="s">
        <v>17</v>
      </c>
      <c r="K100" s="2">
        <v>12.33</v>
      </c>
      <c r="L100" s="2">
        <v>2.2200000000000002</v>
      </c>
      <c r="M100" s="2">
        <v>10.11</v>
      </c>
      <c r="N100" s="2">
        <v>-14</v>
      </c>
      <c r="O100" s="4">
        <f t="shared" si="1"/>
        <v>-141.54</v>
      </c>
      <c r="R100" s="1" t="s">
        <v>22</v>
      </c>
    </row>
    <row r="101" spans="1:18" x14ac:dyDescent="0.25">
      <c r="A101" s="2" t="s">
        <v>27</v>
      </c>
      <c r="B101" s="2">
        <v>2171</v>
      </c>
      <c r="C101" s="3">
        <v>44183</v>
      </c>
      <c r="D101" s="2" t="s">
        <v>50</v>
      </c>
      <c r="E101" s="3">
        <v>44165</v>
      </c>
      <c r="F101" s="2">
        <v>0</v>
      </c>
      <c r="G101" s="2">
        <v>0</v>
      </c>
      <c r="H101" s="3">
        <v>44184</v>
      </c>
      <c r="I101" s="3">
        <v>44198</v>
      </c>
      <c r="J101" s="2" t="s">
        <v>17</v>
      </c>
      <c r="K101" s="4">
        <v>1392.02</v>
      </c>
      <c r="L101" s="2">
        <v>251.02</v>
      </c>
      <c r="M101" s="4">
        <v>1141</v>
      </c>
      <c r="N101" s="2">
        <v>-14</v>
      </c>
      <c r="O101" s="4">
        <f t="shared" si="1"/>
        <v>-15974</v>
      </c>
      <c r="R101" s="1" t="s">
        <v>29</v>
      </c>
    </row>
    <row r="102" spans="1:18" ht="36" x14ac:dyDescent="0.25">
      <c r="A102" s="2" t="s">
        <v>51</v>
      </c>
      <c r="B102" s="2">
        <v>1642</v>
      </c>
      <c r="C102" s="3">
        <v>44113</v>
      </c>
      <c r="D102" s="2" t="str">
        <f>"3020836774"</f>
        <v>3020836774</v>
      </c>
      <c r="E102" s="3">
        <v>44098</v>
      </c>
      <c r="F102" s="2">
        <v>0</v>
      </c>
      <c r="G102" s="2">
        <v>0</v>
      </c>
      <c r="H102" s="3">
        <v>44114</v>
      </c>
      <c r="I102" s="3">
        <v>44128</v>
      </c>
      <c r="J102" s="2" t="s">
        <v>17</v>
      </c>
      <c r="K102" s="2">
        <v>0.28999999999999998</v>
      </c>
      <c r="L102" s="2">
        <v>0.28999999999999998</v>
      </c>
      <c r="M102" s="2">
        <v>0</v>
      </c>
      <c r="N102" s="2">
        <v>-14</v>
      </c>
      <c r="O102" s="4">
        <f t="shared" si="1"/>
        <v>0</v>
      </c>
      <c r="R102" s="1" t="s">
        <v>52</v>
      </c>
    </row>
    <row r="103" spans="1:18" x14ac:dyDescent="0.25">
      <c r="A103" s="2" t="s">
        <v>40</v>
      </c>
      <c r="B103" s="2">
        <v>1679</v>
      </c>
      <c r="C103" s="3">
        <v>44121</v>
      </c>
      <c r="D103" s="2" t="str">
        <f>"20204963"</f>
        <v>20204963</v>
      </c>
      <c r="E103" s="3">
        <v>44104</v>
      </c>
      <c r="F103" s="2">
        <v>0</v>
      </c>
      <c r="G103" s="2">
        <v>0</v>
      </c>
      <c r="H103" s="3">
        <v>44121</v>
      </c>
      <c r="I103" s="3">
        <v>44135</v>
      </c>
      <c r="J103" s="2" t="s">
        <v>17</v>
      </c>
      <c r="K103" s="2">
        <v>253.07</v>
      </c>
      <c r="L103" s="2">
        <v>45.64</v>
      </c>
      <c r="M103" s="2">
        <v>207.43</v>
      </c>
      <c r="N103" s="2">
        <v>-14</v>
      </c>
      <c r="O103" s="4">
        <f t="shared" si="1"/>
        <v>-2904.02</v>
      </c>
      <c r="R103" s="1" t="s">
        <v>41</v>
      </c>
    </row>
    <row r="104" spans="1:18" ht="24" x14ac:dyDescent="0.25">
      <c r="A104" s="2" t="s">
        <v>53</v>
      </c>
      <c r="B104" s="2">
        <v>2004</v>
      </c>
      <c r="C104" s="3">
        <v>44163</v>
      </c>
      <c r="D104" s="2" t="str">
        <f>"200"</f>
        <v>200</v>
      </c>
      <c r="E104" s="3">
        <v>44110</v>
      </c>
      <c r="F104" s="2">
        <v>0</v>
      </c>
      <c r="G104" s="2">
        <v>0</v>
      </c>
      <c r="H104" s="3">
        <v>44163</v>
      </c>
      <c r="I104" s="3">
        <v>44177</v>
      </c>
      <c r="J104" s="2" t="s">
        <v>17</v>
      </c>
      <c r="K104" s="2">
        <v>391.18</v>
      </c>
      <c r="L104" s="2">
        <v>70.540000000000006</v>
      </c>
      <c r="M104" s="2">
        <v>320.64</v>
      </c>
      <c r="N104" s="2">
        <v>-14</v>
      </c>
      <c r="O104" s="4">
        <f t="shared" si="1"/>
        <v>-4488.96</v>
      </c>
      <c r="R104" s="1" t="s">
        <v>54</v>
      </c>
    </row>
    <row r="105" spans="1:18" x14ac:dyDescent="0.25">
      <c r="A105" s="2" t="s">
        <v>55</v>
      </c>
      <c r="B105" s="2">
        <v>1874</v>
      </c>
      <c r="C105" s="3">
        <v>44155</v>
      </c>
      <c r="D105" s="2" t="str">
        <f>"98"</f>
        <v>98</v>
      </c>
      <c r="E105" s="3">
        <v>44141</v>
      </c>
      <c r="F105" s="2">
        <v>0</v>
      </c>
      <c r="G105" s="2">
        <v>0</v>
      </c>
      <c r="H105" s="3">
        <v>44156</v>
      </c>
      <c r="I105" s="3">
        <v>44172</v>
      </c>
      <c r="J105" s="2" t="s">
        <v>17</v>
      </c>
      <c r="K105" s="4">
        <v>1518.9</v>
      </c>
      <c r="L105" s="2">
        <v>273.89999999999998</v>
      </c>
      <c r="M105" s="4">
        <v>1245</v>
      </c>
      <c r="N105" s="2">
        <v>-16</v>
      </c>
      <c r="O105" s="4">
        <f t="shared" si="1"/>
        <v>-19920</v>
      </c>
      <c r="R105" s="1" t="s">
        <v>56</v>
      </c>
    </row>
    <row r="106" spans="1:18" x14ac:dyDescent="0.25">
      <c r="A106" s="2" t="s">
        <v>25</v>
      </c>
      <c r="B106" s="2">
        <v>1808</v>
      </c>
      <c r="C106" s="3">
        <v>44135</v>
      </c>
      <c r="D106" s="2" t="str">
        <f>"004070479705"</f>
        <v>004070479705</v>
      </c>
      <c r="E106" s="3">
        <v>44116</v>
      </c>
      <c r="F106" s="2">
        <v>0</v>
      </c>
      <c r="G106" s="2">
        <v>0</v>
      </c>
      <c r="H106" s="3">
        <v>44135</v>
      </c>
      <c r="I106" s="3">
        <v>44151</v>
      </c>
      <c r="J106" s="2" t="s">
        <v>17</v>
      </c>
      <c r="K106" s="2">
        <v>16.59</v>
      </c>
      <c r="L106" s="2">
        <v>2.99</v>
      </c>
      <c r="M106" s="2">
        <v>13.6</v>
      </c>
      <c r="N106" s="2">
        <v>-16</v>
      </c>
      <c r="O106" s="4">
        <f t="shared" si="1"/>
        <v>-217.6</v>
      </c>
      <c r="R106" s="1" t="s">
        <v>26</v>
      </c>
    </row>
    <row r="107" spans="1:18" x14ac:dyDescent="0.25">
      <c r="A107" s="2" t="s">
        <v>25</v>
      </c>
      <c r="B107" s="2">
        <v>1804</v>
      </c>
      <c r="C107" s="3">
        <v>44135</v>
      </c>
      <c r="D107" s="2" t="str">
        <f>"004068518594"</f>
        <v>004068518594</v>
      </c>
      <c r="E107" s="3">
        <v>44114</v>
      </c>
      <c r="F107" s="2">
        <v>0</v>
      </c>
      <c r="G107" s="2">
        <v>0</v>
      </c>
      <c r="H107" s="3">
        <v>44135</v>
      </c>
      <c r="I107" s="3">
        <v>44151</v>
      </c>
      <c r="J107" s="2" t="s">
        <v>17</v>
      </c>
      <c r="K107" s="2">
        <v>246.35</v>
      </c>
      <c r="L107" s="2">
        <v>44.42</v>
      </c>
      <c r="M107" s="2">
        <v>201.93</v>
      </c>
      <c r="N107" s="2">
        <v>-16</v>
      </c>
      <c r="O107" s="4">
        <f t="shared" si="1"/>
        <v>-3230.88</v>
      </c>
      <c r="R107" s="1" t="s">
        <v>26</v>
      </c>
    </row>
    <row r="108" spans="1:18" x14ac:dyDescent="0.25">
      <c r="A108" s="2" t="s">
        <v>25</v>
      </c>
      <c r="B108" s="2">
        <v>2176</v>
      </c>
      <c r="C108" s="3">
        <v>44183</v>
      </c>
      <c r="D108" s="2" t="str">
        <f>"004079050954"</f>
        <v>004079050954</v>
      </c>
      <c r="E108" s="3">
        <v>44170</v>
      </c>
      <c r="F108" s="2">
        <v>0</v>
      </c>
      <c r="G108" s="2">
        <v>0</v>
      </c>
      <c r="H108" s="3">
        <v>44184</v>
      </c>
      <c r="I108" s="3">
        <v>44201</v>
      </c>
      <c r="J108" s="2" t="s">
        <v>17</v>
      </c>
      <c r="K108" s="2">
        <v>24.22</v>
      </c>
      <c r="L108" s="2">
        <v>4.37</v>
      </c>
      <c r="M108" s="2">
        <v>19.850000000000001</v>
      </c>
      <c r="N108" s="2">
        <v>-17</v>
      </c>
      <c r="O108" s="4">
        <f t="shared" si="1"/>
        <v>-337.45000000000005</v>
      </c>
      <c r="R108" s="1" t="s">
        <v>26</v>
      </c>
    </row>
    <row r="109" spans="1:18" x14ac:dyDescent="0.25">
      <c r="A109" s="2" t="s">
        <v>25</v>
      </c>
      <c r="B109" s="2">
        <v>1799</v>
      </c>
      <c r="C109" s="3">
        <v>44135</v>
      </c>
      <c r="D109" s="2" t="str">
        <f>"004071422421"</f>
        <v>004071422421</v>
      </c>
      <c r="E109" s="3">
        <v>44117</v>
      </c>
      <c r="F109" s="2">
        <v>0</v>
      </c>
      <c r="G109" s="2">
        <v>0</v>
      </c>
      <c r="H109" s="3">
        <v>44135</v>
      </c>
      <c r="I109" s="3">
        <v>44152</v>
      </c>
      <c r="J109" s="2" t="s">
        <v>17</v>
      </c>
      <c r="K109" s="2">
        <v>128.05000000000001</v>
      </c>
      <c r="L109" s="2">
        <v>23.09</v>
      </c>
      <c r="M109" s="2">
        <v>104.96</v>
      </c>
      <c r="N109" s="2">
        <v>-17</v>
      </c>
      <c r="O109" s="4">
        <f t="shared" si="1"/>
        <v>-1784.32</v>
      </c>
      <c r="R109" s="1" t="s">
        <v>26</v>
      </c>
    </row>
    <row r="110" spans="1:18" x14ac:dyDescent="0.25">
      <c r="A110" s="2" t="s">
        <v>25</v>
      </c>
      <c r="B110" s="2">
        <v>1810</v>
      </c>
      <c r="C110" s="3">
        <v>44135</v>
      </c>
      <c r="D110" s="2" t="str">
        <f>"004071422424"</f>
        <v>004071422424</v>
      </c>
      <c r="E110" s="3">
        <v>44117</v>
      </c>
      <c r="F110" s="2">
        <v>0</v>
      </c>
      <c r="G110" s="2">
        <v>0</v>
      </c>
      <c r="H110" s="3">
        <v>44135</v>
      </c>
      <c r="I110" s="3">
        <v>44152</v>
      </c>
      <c r="J110" s="2" t="s">
        <v>17</v>
      </c>
      <c r="K110" s="2">
        <v>11.68</v>
      </c>
      <c r="L110" s="2">
        <v>2.11</v>
      </c>
      <c r="M110" s="2">
        <v>9.57</v>
      </c>
      <c r="N110" s="2">
        <v>-17</v>
      </c>
      <c r="O110" s="4">
        <f t="shared" si="1"/>
        <v>-162.69</v>
      </c>
      <c r="R110" s="1" t="s">
        <v>26</v>
      </c>
    </row>
    <row r="111" spans="1:18" ht="24" x14ac:dyDescent="0.25">
      <c r="A111" s="2" t="s">
        <v>57</v>
      </c>
      <c r="B111" s="2">
        <v>1792</v>
      </c>
      <c r="C111" s="3">
        <v>44135</v>
      </c>
      <c r="D111" s="2" t="str">
        <f>"0350120200800867900"</f>
        <v>0350120200800867900</v>
      </c>
      <c r="E111" s="3">
        <v>44092</v>
      </c>
      <c r="F111" s="2">
        <v>0</v>
      </c>
      <c r="G111" s="2">
        <v>0</v>
      </c>
      <c r="H111" s="3">
        <v>44135</v>
      </c>
      <c r="I111" s="3">
        <v>44153</v>
      </c>
      <c r="J111" s="2" t="s">
        <v>17</v>
      </c>
      <c r="K111" s="2">
        <v>348.17</v>
      </c>
      <c r="L111" s="2">
        <v>31.65</v>
      </c>
      <c r="M111" s="2">
        <v>316.52</v>
      </c>
      <c r="N111" s="2">
        <v>-18</v>
      </c>
      <c r="O111" s="4">
        <f t="shared" si="1"/>
        <v>-5697.36</v>
      </c>
      <c r="R111" s="1" t="s">
        <v>54</v>
      </c>
    </row>
    <row r="112" spans="1:18" ht="24" x14ac:dyDescent="0.25">
      <c r="A112" s="2" t="s">
        <v>57</v>
      </c>
      <c r="B112" s="2">
        <v>1792</v>
      </c>
      <c r="C112" s="3">
        <v>44135</v>
      </c>
      <c r="D112" s="2" t="str">
        <f>"0350120200800868400"</f>
        <v>0350120200800868400</v>
      </c>
      <c r="E112" s="3">
        <v>44092</v>
      </c>
      <c r="F112" s="2">
        <v>0</v>
      </c>
      <c r="G112" s="2">
        <v>0</v>
      </c>
      <c r="H112" s="3">
        <v>44135</v>
      </c>
      <c r="I112" s="3">
        <v>44153</v>
      </c>
      <c r="J112" s="2" t="s">
        <v>17</v>
      </c>
      <c r="K112" s="2">
        <v>1.49</v>
      </c>
      <c r="L112" s="2">
        <v>0.14000000000000001</v>
      </c>
      <c r="M112" s="2">
        <v>1.35</v>
      </c>
      <c r="N112" s="2">
        <v>-18</v>
      </c>
      <c r="O112" s="4">
        <f t="shared" si="1"/>
        <v>-24.3</v>
      </c>
      <c r="R112" s="1" t="s">
        <v>54</v>
      </c>
    </row>
    <row r="113" spans="1:18" ht="24" x14ac:dyDescent="0.25">
      <c r="A113" s="2" t="s">
        <v>57</v>
      </c>
      <c r="B113" s="2">
        <v>1792</v>
      </c>
      <c r="C113" s="3">
        <v>44135</v>
      </c>
      <c r="D113" s="2" t="str">
        <f>"0350120200800867100"</f>
        <v>0350120200800867100</v>
      </c>
      <c r="E113" s="3">
        <v>44092</v>
      </c>
      <c r="F113" s="2">
        <v>0</v>
      </c>
      <c r="G113" s="2">
        <v>0</v>
      </c>
      <c r="H113" s="3">
        <v>44135</v>
      </c>
      <c r="I113" s="3">
        <v>44153</v>
      </c>
      <c r="J113" s="2" t="s">
        <v>17</v>
      </c>
      <c r="K113" s="2">
        <v>0.45</v>
      </c>
      <c r="L113" s="2">
        <v>0.04</v>
      </c>
      <c r="M113" s="2">
        <v>0.41</v>
      </c>
      <c r="N113" s="2">
        <v>-18</v>
      </c>
      <c r="O113" s="4">
        <f t="shared" si="1"/>
        <v>-7.38</v>
      </c>
      <c r="R113" s="1" t="s">
        <v>54</v>
      </c>
    </row>
    <row r="114" spans="1:18" ht="24" x14ac:dyDescent="0.25">
      <c r="A114" s="2" t="s">
        <v>57</v>
      </c>
      <c r="B114" s="2">
        <v>1792</v>
      </c>
      <c r="C114" s="3">
        <v>44135</v>
      </c>
      <c r="D114" s="2" t="str">
        <f>"0350120200800868300"</f>
        <v>0350120200800868300</v>
      </c>
      <c r="E114" s="3">
        <v>44092</v>
      </c>
      <c r="F114" s="2">
        <v>0</v>
      </c>
      <c r="G114" s="2">
        <v>0</v>
      </c>
      <c r="H114" s="3">
        <v>44135</v>
      </c>
      <c r="I114" s="3">
        <v>44153</v>
      </c>
      <c r="J114" s="2" t="s">
        <v>17</v>
      </c>
      <c r="K114" s="2">
        <v>130.49</v>
      </c>
      <c r="L114" s="2">
        <v>11.86</v>
      </c>
      <c r="M114" s="2">
        <v>118.63</v>
      </c>
      <c r="N114" s="2">
        <v>-18</v>
      </c>
      <c r="O114" s="4">
        <f t="shared" si="1"/>
        <v>-2135.34</v>
      </c>
      <c r="R114" s="1" t="s">
        <v>54</v>
      </c>
    </row>
    <row r="115" spans="1:18" ht="24" x14ac:dyDescent="0.25">
      <c r="A115" s="2" t="s">
        <v>57</v>
      </c>
      <c r="B115" s="2">
        <v>1792</v>
      </c>
      <c r="C115" s="3">
        <v>44135</v>
      </c>
      <c r="D115" s="2" t="str">
        <f>"0350120200800866900"</f>
        <v>0350120200800866900</v>
      </c>
      <c r="E115" s="3">
        <v>44092</v>
      </c>
      <c r="F115" s="2">
        <v>0</v>
      </c>
      <c r="G115" s="2">
        <v>0</v>
      </c>
      <c r="H115" s="3">
        <v>44135</v>
      </c>
      <c r="I115" s="3">
        <v>44153</v>
      </c>
      <c r="J115" s="2" t="s">
        <v>17</v>
      </c>
      <c r="K115" s="2">
        <v>17.059999999999999</v>
      </c>
      <c r="L115" s="2">
        <v>1.55</v>
      </c>
      <c r="M115" s="2">
        <v>15.51</v>
      </c>
      <c r="N115" s="2">
        <v>-18</v>
      </c>
      <c r="O115" s="4">
        <f t="shared" si="1"/>
        <v>-279.18</v>
      </c>
      <c r="R115" s="1" t="s">
        <v>54</v>
      </c>
    </row>
    <row r="116" spans="1:18" ht="24" x14ac:dyDescent="0.25">
      <c r="A116" s="2" t="s">
        <v>57</v>
      </c>
      <c r="B116" s="2">
        <v>1792</v>
      </c>
      <c r="C116" s="3">
        <v>44135</v>
      </c>
      <c r="D116" s="2" t="str">
        <f>"0350120200800867200"</f>
        <v>0350120200800867200</v>
      </c>
      <c r="E116" s="3">
        <v>44092</v>
      </c>
      <c r="F116" s="2">
        <v>0</v>
      </c>
      <c r="G116" s="2">
        <v>0</v>
      </c>
      <c r="H116" s="3">
        <v>44135</v>
      </c>
      <c r="I116" s="3">
        <v>44153</v>
      </c>
      <c r="J116" s="2" t="s">
        <v>17</v>
      </c>
      <c r="K116" s="2">
        <v>127.01</v>
      </c>
      <c r="L116" s="2">
        <v>11.55</v>
      </c>
      <c r="M116" s="2">
        <v>115.46</v>
      </c>
      <c r="N116" s="2">
        <v>-18</v>
      </c>
      <c r="O116" s="4">
        <f t="shared" si="1"/>
        <v>-2078.2799999999997</v>
      </c>
      <c r="R116" s="1" t="s">
        <v>54</v>
      </c>
    </row>
    <row r="117" spans="1:18" ht="24" x14ac:dyDescent="0.25">
      <c r="A117" s="2" t="s">
        <v>57</v>
      </c>
      <c r="B117" s="2">
        <v>1792</v>
      </c>
      <c r="C117" s="3">
        <v>44135</v>
      </c>
      <c r="D117" s="2" t="str">
        <f>"0350120200800867800"</f>
        <v>0350120200800867800</v>
      </c>
      <c r="E117" s="3">
        <v>44092</v>
      </c>
      <c r="F117" s="2">
        <v>0</v>
      </c>
      <c r="G117" s="2">
        <v>0</v>
      </c>
      <c r="H117" s="3">
        <v>44135</v>
      </c>
      <c r="I117" s="3">
        <v>44153</v>
      </c>
      <c r="J117" s="2" t="s">
        <v>17</v>
      </c>
      <c r="K117" s="2">
        <v>5.39</v>
      </c>
      <c r="L117" s="2">
        <v>0.49</v>
      </c>
      <c r="M117" s="2">
        <v>4.9000000000000004</v>
      </c>
      <c r="N117" s="2">
        <v>-18</v>
      </c>
      <c r="O117" s="4">
        <f t="shared" si="1"/>
        <v>-88.2</v>
      </c>
      <c r="R117" s="1" t="s">
        <v>54</v>
      </c>
    </row>
    <row r="118" spans="1:18" ht="24" x14ac:dyDescent="0.25">
      <c r="A118" s="2" t="s">
        <v>57</v>
      </c>
      <c r="B118" s="2">
        <v>1792</v>
      </c>
      <c r="C118" s="3">
        <v>44135</v>
      </c>
      <c r="D118" s="2" t="str">
        <f>"0350120200800868200"</f>
        <v>0350120200800868200</v>
      </c>
      <c r="E118" s="3">
        <v>44092</v>
      </c>
      <c r="F118" s="2">
        <v>0</v>
      </c>
      <c r="G118" s="2">
        <v>0</v>
      </c>
      <c r="H118" s="3">
        <v>44135</v>
      </c>
      <c r="I118" s="3">
        <v>44153</v>
      </c>
      <c r="J118" s="2" t="s">
        <v>17</v>
      </c>
      <c r="K118" s="2">
        <v>60.6</v>
      </c>
      <c r="L118" s="2">
        <v>5.51</v>
      </c>
      <c r="M118" s="2">
        <v>55.09</v>
      </c>
      <c r="N118" s="2">
        <v>-18</v>
      </c>
      <c r="O118" s="4">
        <f t="shared" si="1"/>
        <v>-991.62000000000012</v>
      </c>
      <c r="R118" s="1" t="s">
        <v>54</v>
      </c>
    </row>
    <row r="119" spans="1:18" ht="24" x14ac:dyDescent="0.25">
      <c r="A119" s="2" t="s">
        <v>57</v>
      </c>
      <c r="B119" s="2">
        <v>1792</v>
      </c>
      <c r="C119" s="3">
        <v>44135</v>
      </c>
      <c r="D119" s="2" t="str">
        <f>"0350120200800868500"</f>
        <v>0350120200800868500</v>
      </c>
      <c r="E119" s="3">
        <v>44092</v>
      </c>
      <c r="F119" s="2">
        <v>0</v>
      </c>
      <c r="G119" s="2">
        <v>0</v>
      </c>
      <c r="H119" s="3">
        <v>44135</v>
      </c>
      <c r="I119" s="3">
        <v>44153</v>
      </c>
      <c r="J119" s="2" t="s">
        <v>17</v>
      </c>
      <c r="K119" s="2">
        <v>35.549999999999997</v>
      </c>
      <c r="L119" s="2">
        <v>3.23</v>
      </c>
      <c r="M119" s="2">
        <v>32.32</v>
      </c>
      <c r="N119" s="2">
        <v>-18</v>
      </c>
      <c r="O119" s="4">
        <f t="shared" si="1"/>
        <v>-581.76</v>
      </c>
      <c r="R119" s="1" t="s">
        <v>54</v>
      </c>
    </row>
    <row r="120" spans="1:18" x14ac:dyDescent="0.25">
      <c r="A120" s="2" t="s">
        <v>58</v>
      </c>
      <c r="B120" s="2">
        <v>2006</v>
      </c>
      <c r="C120" s="3">
        <v>44163</v>
      </c>
      <c r="D120" s="2" t="s">
        <v>59</v>
      </c>
      <c r="E120" s="3">
        <v>44151</v>
      </c>
      <c r="F120" s="2">
        <v>0</v>
      </c>
      <c r="G120" s="2">
        <v>0</v>
      </c>
      <c r="H120" s="3">
        <v>44163</v>
      </c>
      <c r="I120" s="3">
        <v>44181</v>
      </c>
      <c r="J120" s="2" t="s">
        <v>17</v>
      </c>
      <c r="K120" s="4">
        <v>1000</v>
      </c>
      <c r="L120" s="2">
        <v>180.33</v>
      </c>
      <c r="M120" s="2">
        <v>819.67</v>
      </c>
      <c r="N120" s="2">
        <v>-18</v>
      </c>
      <c r="O120" s="4">
        <f t="shared" si="1"/>
        <v>-14754.06</v>
      </c>
      <c r="R120" s="1" t="s">
        <v>60</v>
      </c>
    </row>
    <row r="121" spans="1:18" x14ac:dyDescent="0.25">
      <c r="A121" s="2" t="s">
        <v>58</v>
      </c>
      <c r="B121" s="2">
        <v>2007</v>
      </c>
      <c r="C121" s="3">
        <v>44163</v>
      </c>
      <c r="D121" s="2" t="s">
        <v>61</v>
      </c>
      <c r="E121" s="3">
        <v>44151</v>
      </c>
      <c r="F121" s="2">
        <v>0</v>
      </c>
      <c r="G121" s="2">
        <v>0</v>
      </c>
      <c r="H121" s="3">
        <v>44163</v>
      </c>
      <c r="I121" s="3">
        <v>44181</v>
      </c>
      <c r="J121" s="2" t="s">
        <v>17</v>
      </c>
      <c r="K121" s="2">
        <v>891</v>
      </c>
      <c r="L121" s="2">
        <v>160.66999999999999</v>
      </c>
      <c r="M121" s="2">
        <v>730.33</v>
      </c>
      <c r="N121" s="2">
        <v>-18</v>
      </c>
      <c r="O121" s="4">
        <f t="shared" si="1"/>
        <v>-13145.94</v>
      </c>
      <c r="R121" s="1" t="s">
        <v>60</v>
      </c>
    </row>
    <row r="122" spans="1:18" x14ac:dyDescent="0.25">
      <c r="A122" s="2" t="s">
        <v>62</v>
      </c>
      <c r="B122" s="2">
        <v>1623</v>
      </c>
      <c r="C122" s="3">
        <v>44113</v>
      </c>
      <c r="D122" s="2" t="str">
        <f>"42003750602"</f>
        <v>42003750602</v>
      </c>
      <c r="E122" s="3">
        <v>44097</v>
      </c>
      <c r="F122" s="2">
        <v>0</v>
      </c>
      <c r="G122" s="2">
        <v>0</v>
      </c>
      <c r="H122" s="3">
        <v>44114</v>
      </c>
      <c r="I122" s="3">
        <v>44132</v>
      </c>
      <c r="J122" s="2" t="s">
        <v>17</v>
      </c>
      <c r="K122" s="2">
        <v>49.96</v>
      </c>
      <c r="L122" s="2">
        <v>8.81</v>
      </c>
      <c r="M122" s="2">
        <v>41.15</v>
      </c>
      <c r="N122" s="2">
        <v>-18</v>
      </c>
      <c r="O122" s="4">
        <f t="shared" si="1"/>
        <v>-740.69999999999993</v>
      </c>
      <c r="R122" s="1" t="s">
        <v>63</v>
      </c>
    </row>
    <row r="123" spans="1:18" x14ac:dyDescent="0.25">
      <c r="A123" s="2" t="s">
        <v>64</v>
      </c>
      <c r="B123" s="2">
        <v>2022</v>
      </c>
      <c r="C123" s="3">
        <v>44169</v>
      </c>
      <c r="D123" s="2" t="str">
        <f>"2020902619"</f>
        <v>2020902619</v>
      </c>
      <c r="E123" s="3">
        <v>44158</v>
      </c>
      <c r="F123" s="2">
        <v>0</v>
      </c>
      <c r="G123" s="2">
        <v>0</v>
      </c>
      <c r="H123" s="3">
        <v>44170</v>
      </c>
      <c r="I123" s="3">
        <v>44188</v>
      </c>
      <c r="J123" s="2" t="s">
        <v>17</v>
      </c>
      <c r="K123" s="4">
        <v>6864.68</v>
      </c>
      <c r="L123" s="4">
        <v>1237.8900000000001</v>
      </c>
      <c r="M123" s="4">
        <v>5626.79</v>
      </c>
      <c r="N123" s="2">
        <v>-18</v>
      </c>
      <c r="O123" s="4">
        <f t="shared" si="1"/>
        <v>-101282.22</v>
      </c>
      <c r="R123" s="1" t="s">
        <v>39</v>
      </c>
    </row>
    <row r="124" spans="1:18" x14ac:dyDescent="0.25">
      <c r="A124" s="2" t="s">
        <v>27</v>
      </c>
      <c r="B124" s="2">
        <v>1663</v>
      </c>
      <c r="C124" s="3">
        <v>44121</v>
      </c>
      <c r="D124" s="2" t="s">
        <v>65</v>
      </c>
      <c r="E124" s="3">
        <v>44104</v>
      </c>
      <c r="F124" s="2">
        <v>0</v>
      </c>
      <c r="G124" s="2">
        <v>0</v>
      </c>
      <c r="H124" s="3">
        <v>44121</v>
      </c>
      <c r="I124" s="3">
        <v>44140</v>
      </c>
      <c r="J124" s="2" t="s">
        <v>17</v>
      </c>
      <c r="K124" s="4">
        <v>1392.02</v>
      </c>
      <c r="L124" s="2">
        <v>251.02</v>
      </c>
      <c r="M124" s="4">
        <v>1141</v>
      </c>
      <c r="N124" s="2">
        <v>-19</v>
      </c>
      <c r="O124" s="4">
        <f t="shared" si="1"/>
        <v>-21679</v>
      </c>
      <c r="R124" s="1" t="s">
        <v>29</v>
      </c>
    </row>
    <row r="125" spans="1:18" x14ac:dyDescent="0.25">
      <c r="A125" s="2" t="s">
        <v>37</v>
      </c>
      <c r="B125" s="2">
        <v>1761</v>
      </c>
      <c r="C125" s="3">
        <v>44128</v>
      </c>
      <c r="D125" s="2" t="s">
        <v>66</v>
      </c>
      <c r="E125" s="3">
        <v>44104</v>
      </c>
      <c r="F125" s="2">
        <v>0</v>
      </c>
      <c r="G125" s="2">
        <v>0</v>
      </c>
      <c r="H125" s="3">
        <v>44128</v>
      </c>
      <c r="I125" s="3">
        <v>44147</v>
      </c>
      <c r="J125" s="2" t="s">
        <v>17</v>
      </c>
      <c r="K125" s="2">
        <v>146.4</v>
      </c>
      <c r="L125" s="2">
        <v>26.4</v>
      </c>
      <c r="M125" s="2">
        <v>120</v>
      </c>
      <c r="N125" s="2">
        <v>-19</v>
      </c>
      <c r="O125" s="4">
        <f t="shared" si="1"/>
        <v>-2280</v>
      </c>
      <c r="R125" s="1" t="s">
        <v>39</v>
      </c>
    </row>
    <row r="126" spans="1:18" ht="36" x14ac:dyDescent="0.25">
      <c r="A126" s="2" t="s">
        <v>51</v>
      </c>
      <c r="B126" s="2">
        <v>1868</v>
      </c>
      <c r="C126" s="3">
        <v>44155</v>
      </c>
      <c r="D126" s="2" t="str">
        <f>"3021064647"</f>
        <v>3021064647</v>
      </c>
      <c r="E126" s="3">
        <v>44145</v>
      </c>
      <c r="F126" s="2">
        <v>0</v>
      </c>
      <c r="G126" s="2">
        <v>0</v>
      </c>
      <c r="H126" s="3">
        <v>44156</v>
      </c>
      <c r="I126" s="3">
        <v>44175</v>
      </c>
      <c r="J126" s="2" t="s">
        <v>17</v>
      </c>
      <c r="K126" s="2">
        <v>430.75</v>
      </c>
      <c r="L126" s="2">
        <v>430.75</v>
      </c>
      <c r="M126" s="2">
        <v>0</v>
      </c>
      <c r="N126" s="2">
        <v>-19</v>
      </c>
      <c r="O126" s="4">
        <f t="shared" si="1"/>
        <v>0</v>
      </c>
      <c r="R126" s="1" t="s">
        <v>52</v>
      </c>
    </row>
    <row r="127" spans="1:18" x14ac:dyDescent="0.25">
      <c r="A127" s="2" t="s">
        <v>67</v>
      </c>
      <c r="B127" s="2">
        <v>1873</v>
      </c>
      <c r="C127" s="3">
        <v>44155</v>
      </c>
      <c r="D127" s="2" t="str">
        <f>"01006099"</f>
        <v>01006099</v>
      </c>
      <c r="E127" s="3">
        <v>44134</v>
      </c>
      <c r="F127" s="2">
        <v>0</v>
      </c>
      <c r="G127" s="2">
        <v>0</v>
      </c>
      <c r="H127" s="3">
        <v>44156</v>
      </c>
      <c r="I127" s="3">
        <v>44175</v>
      </c>
      <c r="J127" s="2" t="s">
        <v>17</v>
      </c>
      <c r="K127" s="2">
        <v>830.09</v>
      </c>
      <c r="L127" s="2">
        <v>149.69</v>
      </c>
      <c r="M127" s="2">
        <v>680.4</v>
      </c>
      <c r="N127" s="2">
        <v>-19</v>
      </c>
      <c r="O127" s="4">
        <f t="shared" si="1"/>
        <v>-12927.6</v>
      </c>
      <c r="R127" s="1" t="s">
        <v>68</v>
      </c>
    </row>
    <row r="128" spans="1:18" x14ac:dyDescent="0.25">
      <c r="A128" s="2" t="s">
        <v>40</v>
      </c>
      <c r="B128" s="2">
        <v>2063</v>
      </c>
      <c r="C128" s="3">
        <v>44176</v>
      </c>
      <c r="D128" s="2" t="str">
        <f>"20207491"</f>
        <v>20207491</v>
      </c>
      <c r="E128" s="3">
        <v>44165</v>
      </c>
      <c r="F128" s="2">
        <v>0</v>
      </c>
      <c r="G128" s="2">
        <v>0</v>
      </c>
      <c r="H128" s="3">
        <v>44177</v>
      </c>
      <c r="I128" s="3">
        <v>44196</v>
      </c>
      <c r="J128" s="2" t="s">
        <v>17</v>
      </c>
      <c r="K128" s="2">
        <v>108.68</v>
      </c>
      <c r="L128" s="2">
        <v>19.600000000000001</v>
      </c>
      <c r="M128" s="2">
        <v>89.08</v>
      </c>
      <c r="N128" s="2">
        <v>-19</v>
      </c>
      <c r="O128" s="4">
        <f t="shared" si="1"/>
        <v>-1692.52</v>
      </c>
      <c r="R128" s="1" t="s">
        <v>41</v>
      </c>
    </row>
    <row r="129" spans="1:18" ht="24" x14ac:dyDescent="0.25">
      <c r="A129" s="2" t="s">
        <v>69</v>
      </c>
      <c r="B129" s="2">
        <v>2052</v>
      </c>
      <c r="C129" s="3">
        <v>44176</v>
      </c>
      <c r="D129" s="2" t="s">
        <v>70</v>
      </c>
      <c r="E129" s="3">
        <v>44135</v>
      </c>
      <c r="F129" s="2">
        <v>0</v>
      </c>
      <c r="G129" s="2">
        <v>0</v>
      </c>
      <c r="H129" s="3">
        <v>44177</v>
      </c>
      <c r="I129" s="3">
        <v>44196</v>
      </c>
      <c r="J129" s="2" t="s">
        <v>17</v>
      </c>
      <c r="K129" s="4">
        <v>1259.04</v>
      </c>
      <c r="L129" s="2">
        <v>227.04</v>
      </c>
      <c r="M129" s="4">
        <v>1032</v>
      </c>
      <c r="N129" s="2">
        <v>-19</v>
      </c>
      <c r="O129" s="4">
        <f t="shared" si="1"/>
        <v>-19608</v>
      </c>
      <c r="R129" s="1" t="s">
        <v>71</v>
      </c>
    </row>
    <row r="130" spans="1:18" ht="24" x14ac:dyDescent="0.25">
      <c r="A130" s="2" t="s">
        <v>34</v>
      </c>
      <c r="B130" s="2">
        <v>1886</v>
      </c>
      <c r="C130" s="3">
        <v>44155</v>
      </c>
      <c r="D130" s="2" t="s">
        <v>72</v>
      </c>
      <c r="E130" s="3">
        <v>44135</v>
      </c>
      <c r="F130" s="2">
        <v>0</v>
      </c>
      <c r="G130" s="2">
        <v>0</v>
      </c>
      <c r="H130" s="3">
        <v>44156</v>
      </c>
      <c r="I130" s="3">
        <v>44176</v>
      </c>
      <c r="J130" s="2" t="s">
        <v>17</v>
      </c>
      <c r="K130" s="4">
        <v>2476.23</v>
      </c>
      <c r="L130" s="2">
        <v>117.92</v>
      </c>
      <c r="M130" s="4">
        <v>2358.31</v>
      </c>
      <c r="N130" s="2">
        <v>-20</v>
      </c>
      <c r="O130" s="4">
        <f t="shared" si="1"/>
        <v>-47166.2</v>
      </c>
      <c r="R130" s="1" t="s">
        <v>36</v>
      </c>
    </row>
    <row r="131" spans="1:18" ht="36" x14ac:dyDescent="0.25">
      <c r="A131" s="2" t="s">
        <v>51</v>
      </c>
      <c r="B131" s="2">
        <v>1815</v>
      </c>
      <c r="C131" s="3">
        <v>44141</v>
      </c>
      <c r="D131" s="2" t="str">
        <f>"3021006781"</f>
        <v>3021006781</v>
      </c>
      <c r="E131" s="3">
        <v>44132</v>
      </c>
      <c r="F131" s="2">
        <v>0</v>
      </c>
      <c r="G131" s="2">
        <v>0</v>
      </c>
      <c r="H131" s="3">
        <v>44142</v>
      </c>
      <c r="I131" s="3">
        <v>44162</v>
      </c>
      <c r="J131" s="2" t="s">
        <v>17</v>
      </c>
      <c r="K131" s="2">
        <v>245.52</v>
      </c>
      <c r="L131" s="2">
        <v>245.52</v>
      </c>
      <c r="M131" s="2">
        <v>0</v>
      </c>
      <c r="N131" s="2">
        <v>-20</v>
      </c>
      <c r="O131" s="4">
        <f t="shared" ref="O131:O194" si="2">+M131*N131</f>
        <v>0</v>
      </c>
      <c r="R131" s="1" t="s">
        <v>52</v>
      </c>
    </row>
    <row r="132" spans="1:18" ht="24" x14ac:dyDescent="0.25">
      <c r="A132" s="2" t="s">
        <v>73</v>
      </c>
      <c r="B132" s="2">
        <v>1600</v>
      </c>
      <c r="C132" s="3">
        <v>44107</v>
      </c>
      <c r="D132" s="2" t="s">
        <v>74</v>
      </c>
      <c r="E132" s="3">
        <v>44096</v>
      </c>
      <c r="F132" s="2">
        <v>0</v>
      </c>
      <c r="G132" s="2">
        <v>0</v>
      </c>
      <c r="H132" s="3">
        <v>44107</v>
      </c>
      <c r="I132" s="3">
        <v>44127</v>
      </c>
      <c r="J132" s="2" t="s">
        <v>17</v>
      </c>
      <c r="K132" s="4">
        <v>5494.88</v>
      </c>
      <c r="L132" s="2">
        <v>990.88</v>
      </c>
      <c r="M132" s="4">
        <v>4504</v>
      </c>
      <c r="N132" s="2">
        <v>-20</v>
      </c>
      <c r="O132" s="4">
        <f t="shared" si="2"/>
        <v>-90080</v>
      </c>
      <c r="R132" s="1" t="s">
        <v>75</v>
      </c>
    </row>
    <row r="133" spans="1:18" x14ac:dyDescent="0.25">
      <c r="A133" s="2" t="s">
        <v>25</v>
      </c>
      <c r="B133" s="2">
        <v>1884</v>
      </c>
      <c r="C133" s="3">
        <v>44155</v>
      </c>
      <c r="D133" s="2" t="str">
        <f>"004071988870"</f>
        <v>004071988870</v>
      </c>
      <c r="E133" s="3">
        <v>44141</v>
      </c>
      <c r="F133" s="2">
        <v>0</v>
      </c>
      <c r="G133" s="2">
        <v>0</v>
      </c>
      <c r="H133" s="3">
        <v>44156</v>
      </c>
      <c r="I133" s="3">
        <v>44176</v>
      </c>
      <c r="J133" s="2" t="s">
        <v>17</v>
      </c>
      <c r="K133" s="2">
        <v>31.21</v>
      </c>
      <c r="L133" s="2">
        <v>5.63</v>
      </c>
      <c r="M133" s="2">
        <v>25.58</v>
      </c>
      <c r="N133" s="2">
        <v>-20</v>
      </c>
      <c r="O133" s="4">
        <f t="shared" si="2"/>
        <v>-511.59999999999997</v>
      </c>
      <c r="R133" s="1" t="s">
        <v>26</v>
      </c>
    </row>
    <row r="134" spans="1:18" x14ac:dyDescent="0.25">
      <c r="A134" s="2" t="s">
        <v>25</v>
      </c>
      <c r="B134" s="2">
        <v>1884</v>
      </c>
      <c r="C134" s="3">
        <v>44155</v>
      </c>
      <c r="D134" s="2" t="str">
        <f>"004071988858"</f>
        <v>004071988858</v>
      </c>
      <c r="E134" s="3">
        <v>44141</v>
      </c>
      <c r="F134" s="2">
        <v>0</v>
      </c>
      <c r="G134" s="2">
        <v>0</v>
      </c>
      <c r="H134" s="3">
        <v>44156</v>
      </c>
      <c r="I134" s="3">
        <v>44176</v>
      </c>
      <c r="J134" s="2" t="s">
        <v>17</v>
      </c>
      <c r="K134" s="2">
        <v>85.17</v>
      </c>
      <c r="L134" s="2">
        <v>15.36</v>
      </c>
      <c r="M134" s="2">
        <v>69.81</v>
      </c>
      <c r="N134" s="2">
        <v>-20</v>
      </c>
      <c r="O134" s="4">
        <f t="shared" si="2"/>
        <v>-1396.2</v>
      </c>
      <c r="R134" s="1" t="s">
        <v>26</v>
      </c>
    </row>
    <row r="135" spans="1:18" x14ac:dyDescent="0.25">
      <c r="A135" s="2" t="s">
        <v>25</v>
      </c>
      <c r="B135" s="2">
        <v>1881</v>
      </c>
      <c r="C135" s="3">
        <v>44155</v>
      </c>
      <c r="D135" s="2" t="str">
        <f>"004071988866"</f>
        <v>004071988866</v>
      </c>
      <c r="E135" s="3">
        <v>44141</v>
      </c>
      <c r="F135" s="2">
        <v>0</v>
      </c>
      <c r="G135" s="2">
        <v>0</v>
      </c>
      <c r="H135" s="3">
        <v>44156</v>
      </c>
      <c r="I135" s="3">
        <v>44176</v>
      </c>
      <c r="J135" s="2" t="s">
        <v>17</v>
      </c>
      <c r="K135" s="2">
        <v>70.13</v>
      </c>
      <c r="L135" s="2">
        <v>12.65</v>
      </c>
      <c r="M135" s="2">
        <v>57.48</v>
      </c>
      <c r="N135" s="2">
        <v>-20</v>
      </c>
      <c r="O135" s="4">
        <f t="shared" si="2"/>
        <v>-1149.5999999999999</v>
      </c>
      <c r="R135" s="1" t="s">
        <v>26</v>
      </c>
    </row>
    <row r="136" spans="1:18" x14ac:dyDescent="0.25">
      <c r="A136" s="2" t="s">
        <v>25</v>
      </c>
      <c r="B136" s="2">
        <v>1884</v>
      </c>
      <c r="C136" s="3">
        <v>44155</v>
      </c>
      <c r="D136" s="2" t="str">
        <f>"004071988839"</f>
        <v>004071988839</v>
      </c>
      <c r="E136" s="3">
        <v>44141</v>
      </c>
      <c r="F136" s="2">
        <v>0</v>
      </c>
      <c r="G136" s="2">
        <v>0</v>
      </c>
      <c r="H136" s="3">
        <v>44156</v>
      </c>
      <c r="I136" s="3">
        <v>44176</v>
      </c>
      <c r="J136" s="2" t="s">
        <v>17</v>
      </c>
      <c r="K136" s="2">
        <v>8.2799999999999994</v>
      </c>
      <c r="L136" s="2">
        <v>1.49</v>
      </c>
      <c r="M136" s="2">
        <v>6.79</v>
      </c>
      <c r="N136" s="2">
        <v>-20</v>
      </c>
      <c r="O136" s="4">
        <f t="shared" si="2"/>
        <v>-135.80000000000001</v>
      </c>
      <c r="R136" s="1" t="s">
        <v>26</v>
      </c>
    </row>
    <row r="137" spans="1:18" x14ac:dyDescent="0.25">
      <c r="A137" s="2" t="s">
        <v>25</v>
      </c>
      <c r="B137" s="2">
        <v>1884</v>
      </c>
      <c r="C137" s="3">
        <v>44155</v>
      </c>
      <c r="D137" s="2" t="str">
        <f>"004071988865"</f>
        <v>004071988865</v>
      </c>
      <c r="E137" s="3">
        <v>44141</v>
      </c>
      <c r="F137" s="2">
        <v>0</v>
      </c>
      <c r="G137" s="2">
        <v>0</v>
      </c>
      <c r="H137" s="3">
        <v>44156</v>
      </c>
      <c r="I137" s="3">
        <v>44176</v>
      </c>
      <c r="J137" s="2" t="s">
        <v>17</v>
      </c>
      <c r="K137" s="2">
        <v>88.21</v>
      </c>
      <c r="L137" s="2">
        <v>15.91</v>
      </c>
      <c r="M137" s="2">
        <v>72.3</v>
      </c>
      <c r="N137" s="2">
        <v>-20</v>
      </c>
      <c r="O137" s="4">
        <f t="shared" si="2"/>
        <v>-1446</v>
      </c>
      <c r="R137" s="1" t="s">
        <v>26</v>
      </c>
    </row>
    <row r="138" spans="1:18" x14ac:dyDescent="0.25">
      <c r="A138" s="2" t="s">
        <v>25</v>
      </c>
      <c r="B138" s="2">
        <v>1884</v>
      </c>
      <c r="C138" s="3">
        <v>44155</v>
      </c>
      <c r="D138" s="2" t="str">
        <f>"004071988838"</f>
        <v>004071988838</v>
      </c>
      <c r="E138" s="3">
        <v>44141</v>
      </c>
      <c r="F138" s="2">
        <v>0</v>
      </c>
      <c r="G138" s="2">
        <v>0</v>
      </c>
      <c r="H138" s="3">
        <v>44156</v>
      </c>
      <c r="I138" s="3">
        <v>44176</v>
      </c>
      <c r="J138" s="2" t="s">
        <v>17</v>
      </c>
      <c r="K138" s="2">
        <v>23.81</v>
      </c>
      <c r="L138" s="2">
        <v>4.29</v>
      </c>
      <c r="M138" s="2">
        <v>19.52</v>
      </c>
      <c r="N138" s="2">
        <v>-20</v>
      </c>
      <c r="O138" s="4">
        <f t="shared" si="2"/>
        <v>-390.4</v>
      </c>
      <c r="R138" s="1" t="s">
        <v>26</v>
      </c>
    </row>
    <row r="139" spans="1:18" x14ac:dyDescent="0.25">
      <c r="A139" s="2" t="s">
        <v>25</v>
      </c>
      <c r="B139" s="2">
        <v>1884</v>
      </c>
      <c r="C139" s="3">
        <v>44155</v>
      </c>
      <c r="D139" s="2" t="str">
        <f>"004071988859"</f>
        <v>004071988859</v>
      </c>
      <c r="E139" s="3">
        <v>44141</v>
      </c>
      <c r="F139" s="2">
        <v>0</v>
      </c>
      <c r="G139" s="2">
        <v>0</v>
      </c>
      <c r="H139" s="3">
        <v>44156</v>
      </c>
      <c r="I139" s="3">
        <v>44176</v>
      </c>
      <c r="J139" s="2" t="s">
        <v>17</v>
      </c>
      <c r="K139" s="2">
        <v>15.07</v>
      </c>
      <c r="L139" s="2">
        <v>2.72</v>
      </c>
      <c r="M139" s="2">
        <v>12.35</v>
      </c>
      <c r="N139" s="2">
        <v>-20</v>
      </c>
      <c r="O139" s="4">
        <f t="shared" si="2"/>
        <v>-247</v>
      </c>
      <c r="R139" s="1" t="s">
        <v>26</v>
      </c>
    </row>
    <row r="140" spans="1:18" x14ac:dyDescent="0.25">
      <c r="A140" s="2" t="s">
        <v>25</v>
      </c>
      <c r="B140" s="2">
        <v>1884</v>
      </c>
      <c r="C140" s="3">
        <v>44155</v>
      </c>
      <c r="D140" s="2" t="str">
        <f>"004071988837"</f>
        <v>004071988837</v>
      </c>
      <c r="E140" s="3">
        <v>44141</v>
      </c>
      <c r="F140" s="2">
        <v>0</v>
      </c>
      <c r="G140" s="2">
        <v>0</v>
      </c>
      <c r="H140" s="3">
        <v>44156</v>
      </c>
      <c r="I140" s="3">
        <v>44176</v>
      </c>
      <c r="J140" s="2" t="s">
        <v>17</v>
      </c>
      <c r="K140" s="2">
        <v>440.71</v>
      </c>
      <c r="L140" s="2">
        <v>79.47</v>
      </c>
      <c r="M140" s="2">
        <v>361.24</v>
      </c>
      <c r="N140" s="2">
        <v>-20</v>
      </c>
      <c r="O140" s="4">
        <f t="shared" si="2"/>
        <v>-7224.8</v>
      </c>
      <c r="R140" s="1" t="s">
        <v>26</v>
      </c>
    </row>
    <row r="141" spans="1:18" x14ac:dyDescent="0.25">
      <c r="A141" s="2" t="s">
        <v>25</v>
      </c>
      <c r="B141" s="2">
        <v>1884</v>
      </c>
      <c r="C141" s="3">
        <v>44155</v>
      </c>
      <c r="D141" s="2" t="str">
        <f>"004071988868"</f>
        <v>004071988868</v>
      </c>
      <c r="E141" s="3">
        <v>44141</v>
      </c>
      <c r="F141" s="2">
        <v>0</v>
      </c>
      <c r="G141" s="2">
        <v>0</v>
      </c>
      <c r="H141" s="3">
        <v>44156</v>
      </c>
      <c r="I141" s="3">
        <v>44176</v>
      </c>
      <c r="J141" s="2" t="s">
        <v>17</v>
      </c>
      <c r="K141" s="2">
        <v>20.7</v>
      </c>
      <c r="L141" s="2">
        <v>3.73</v>
      </c>
      <c r="M141" s="2">
        <v>16.97</v>
      </c>
      <c r="N141" s="2">
        <v>-20</v>
      </c>
      <c r="O141" s="4">
        <f t="shared" si="2"/>
        <v>-339.4</v>
      </c>
      <c r="R141" s="1" t="s">
        <v>26</v>
      </c>
    </row>
    <row r="142" spans="1:18" x14ac:dyDescent="0.25">
      <c r="A142" s="2" t="s">
        <v>25</v>
      </c>
      <c r="B142" s="2">
        <v>1884</v>
      </c>
      <c r="C142" s="3">
        <v>44155</v>
      </c>
      <c r="D142" s="2" t="str">
        <f>"004071988835"</f>
        <v>004071988835</v>
      </c>
      <c r="E142" s="3">
        <v>44141</v>
      </c>
      <c r="F142" s="2">
        <v>0</v>
      </c>
      <c r="G142" s="2">
        <v>0</v>
      </c>
      <c r="H142" s="3">
        <v>44156</v>
      </c>
      <c r="I142" s="3">
        <v>44176</v>
      </c>
      <c r="J142" s="2" t="s">
        <v>17</v>
      </c>
      <c r="K142" s="2">
        <v>250.86</v>
      </c>
      <c r="L142" s="2">
        <v>45.24</v>
      </c>
      <c r="M142" s="2">
        <v>205.62</v>
      </c>
      <c r="N142" s="2">
        <v>-20</v>
      </c>
      <c r="O142" s="4">
        <f t="shared" si="2"/>
        <v>-4112.3999999999996</v>
      </c>
      <c r="R142" s="1" t="s">
        <v>26</v>
      </c>
    </row>
    <row r="143" spans="1:18" x14ac:dyDescent="0.25">
      <c r="A143" s="2" t="s">
        <v>25</v>
      </c>
      <c r="B143" s="2">
        <v>1884</v>
      </c>
      <c r="C143" s="3">
        <v>44155</v>
      </c>
      <c r="D143" s="2" t="str">
        <f>"004071988834"</f>
        <v>004071988834</v>
      </c>
      <c r="E143" s="3">
        <v>44141</v>
      </c>
      <c r="F143" s="2">
        <v>0</v>
      </c>
      <c r="G143" s="2">
        <v>0</v>
      </c>
      <c r="H143" s="3">
        <v>44156</v>
      </c>
      <c r="I143" s="3">
        <v>44176</v>
      </c>
      <c r="J143" s="2" t="s">
        <v>17</v>
      </c>
      <c r="K143" s="2">
        <v>18.73</v>
      </c>
      <c r="L143" s="2">
        <v>3.38</v>
      </c>
      <c r="M143" s="2">
        <v>15.35</v>
      </c>
      <c r="N143" s="2">
        <v>-20</v>
      </c>
      <c r="O143" s="4">
        <f t="shared" si="2"/>
        <v>-307</v>
      </c>
      <c r="R143" s="1" t="s">
        <v>26</v>
      </c>
    </row>
    <row r="144" spans="1:18" x14ac:dyDescent="0.25">
      <c r="A144" s="2" t="s">
        <v>25</v>
      </c>
      <c r="B144" s="2">
        <v>1884</v>
      </c>
      <c r="C144" s="3">
        <v>44155</v>
      </c>
      <c r="D144" s="2" t="str">
        <f>"004071988856"</f>
        <v>004071988856</v>
      </c>
      <c r="E144" s="3">
        <v>44141</v>
      </c>
      <c r="F144" s="2">
        <v>0</v>
      </c>
      <c r="G144" s="2">
        <v>0</v>
      </c>
      <c r="H144" s="3">
        <v>44156</v>
      </c>
      <c r="I144" s="3">
        <v>44176</v>
      </c>
      <c r="J144" s="2" t="s">
        <v>17</v>
      </c>
      <c r="K144" s="2">
        <v>68.209999999999994</v>
      </c>
      <c r="L144" s="2">
        <v>12.3</v>
      </c>
      <c r="M144" s="2">
        <v>55.91</v>
      </c>
      <c r="N144" s="2">
        <v>-20</v>
      </c>
      <c r="O144" s="4">
        <f t="shared" si="2"/>
        <v>-1118.1999999999998</v>
      </c>
      <c r="R144" s="1" t="s">
        <v>26</v>
      </c>
    </row>
    <row r="145" spans="1:18" x14ac:dyDescent="0.25">
      <c r="A145" s="2" t="s">
        <v>25</v>
      </c>
      <c r="B145" s="2">
        <v>1884</v>
      </c>
      <c r="C145" s="3">
        <v>44155</v>
      </c>
      <c r="D145" s="2" t="str">
        <f>"004071988864"</f>
        <v>004071988864</v>
      </c>
      <c r="E145" s="3">
        <v>44141</v>
      </c>
      <c r="F145" s="2">
        <v>0</v>
      </c>
      <c r="G145" s="2">
        <v>0</v>
      </c>
      <c r="H145" s="3">
        <v>44156</v>
      </c>
      <c r="I145" s="3">
        <v>44176</v>
      </c>
      <c r="J145" s="2" t="s">
        <v>17</v>
      </c>
      <c r="K145" s="2">
        <v>49.09</v>
      </c>
      <c r="L145" s="2">
        <v>8.85</v>
      </c>
      <c r="M145" s="2">
        <v>40.24</v>
      </c>
      <c r="N145" s="2">
        <v>-20</v>
      </c>
      <c r="O145" s="4">
        <f t="shared" si="2"/>
        <v>-804.80000000000007</v>
      </c>
      <c r="R145" s="1" t="s">
        <v>26</v>
      </c>
    </row>
    <row r="146" spans="1:18" x14ac:dyDescent="0.25">
      <c r="A146" s="2" t="s">
        <v>25</v>
      </c>
      <c r="B146" s="2">
        <v>1884</v>
      </c>
      <c r="C146" s="3">
        <v>44155</v>
      </c>
      <c r="D146" s="2" t="str">
        <f>"004071988841"</f>
        <v>004071988841</v>
      </c>
      <c r="E146" s="3">
        <v>44141</v>
      </c>
      <c r="F146" s="2">
        <v>0</v>
      </c>
      <c r="G146" s="2">
        <v>0</v>
      </c>
      <c r="H146" s="3">
        <v>44156</v>
      </c>
      <c r="I146" s="3">
        <v>44176</v>
      </c>
      <c r="J146" s="2" t="s">
        <v>17</v>
      </c>
      <c r="K146" s="2">
        <v>19.93</v>
      </c>
      <c r="L146" s="2">
        <v>3.59</v>
      </c>
      <c r="M146" s="2">
        <v>16.34</v>
      </c>
      <c r="N146" s="2">
        <v>-20</v>
      </c>
      <c r="O146" s="4">
        <f t="shared" si="2"/>
        <v>-326.8</v>
      </c>
      <c r="R146" s="1" t="s">
        <v>26</v>
      </c>
    </row>
    <row r="147" spans="1:18" x14ac:dyDescent="0.25">
      <c r="A147" s="2" t="s">
        <v>25</v>
      </c>
      <c r="B147" s="2">
        <v>1884</v>
      </c>
      <c r="C147" s="3">
        <v>44155</v>
      </c>
      <c r="D147" s="2" t="str">
        <f>"004071988833"</f>
        <v>004071988833</v>
      </c>
      <c r="E147" s="3">
        <v>44141</v>
      </c>
      <c r="F147" s="2">
        <v>0</v>
      </c>
      <c r="G147" s="2">
        <v>0</v>
      </c>
      <c r="H147" s="3">
        <v>44156</v>
      </c>
      <c r="I147" s="3">
        <v>44176</v>
      </c>
      <c r="J147" s="2" t="s">
        <v>17</v>
      </c>
      <c r="K147" s="2">
        <v>137.47</v>
      </c>
      <c r="L147" s="2">
        <v>24.79</v>
      </c>
      <c r="M147" s="2">
        <v>112.68</v>
      </c>
      <c r="N147" s="2">
        <v>-20</v>
      </c>
      <c r="O147" s="4">
        <f t="shared" si="2"/>
        <v>-2253.6000000000004</v>
      </c>
      <c r="R147" s="1" t="s">
        <v>26</v>
      </c>
    </row>
    <row r="148" spans="1:18" x14ac:dyDescent="0.25">
      <c r="A148" s="2" t="s">
        <v>25</v>
      </c>
      <c r="B148" s="2">
        <v>1881</v>
      </c>
      <c r="C148" s="3">
        <v>44155</v>
      </c>
      <c r="D148" s="2" t="str">
        <f>"004071988840"</f>
        <v>004071988840</v>
      </c>
      <c r="E148" s="3">
        <v>44141</v>
      </c>
      <c r="F148" s="2">
        <v>0</v>
      </c>
      <c r="G148" s="2">
        <v>0</v>
      </c>
      <c r="H148" s="3">
        <v>44156</v>
      </c>
      <c r="I148" s="3">
        <v>44176</v>
      </c>
      <c r="J148" s="2" t="s">
        <v>17</v>
      </c>
      <c r="K148" s="2">
        <v>207.91</v>
      </c>
      <c r="L148" s="2">
        <v>37.49</v>
      </c>
      <c r="M148" s="2">
        <v>170.42</v>
      </c>
      <c r="N148" s="2">
        <v>-20</v>
      </c>
      <c r="O148" s="4">
        <f t="shared" si="2"/>
        <v>-3408.3999999999996</v>
      </c>
      <c r="R148" s="1" t="s">
        <v>26</v>
      </c>
    </row>
    <row r="149" spans="1:18" x14ac:dyDescent="0.25">
      <c r="A149" s="2" t="s">
        <v>25</v>
      </c>
      <c r="B149" s="2">
        <v>1884</v>
      </c>
      <c r="C149" s="3">
        <v>44155</v>
      </c>
      <c r="D149" s="2" t="str">
        <f>"004071988862"</f>
        <v>004071988862</v>
      </c>
      <c r="E149" s="3">
        <v>44141</v>
      </c>
      <c r="F149" s="2">
        <v>0</v>
      </c>
      <c r="G149" s="2">
        <v>0</v>
      </c>
      <c r="H149" s="3">
        <v>44156</v>
      </c>
      <c r="I149" s="3">
        <v>44176</v>
      </c>
      <c r="J149" s="2" t="s">
        <v>17</v>
      </c>
      <c r="K149" s="2">
        <v>170.7</v>
      </c>
      <c r="L149" s="2">
        <v>30.78</v>
      </c>
      <c r="M149" s="2">
        <v>139.91999999999999</v>
      </c>
      <c r="N149" s="2">
        <v>-20</v>
      </c>
      <c r="O149" s="4">
        <f t="shared" si="2"/>
        <v>-2798.3999999999996</v>
      </c>
      <c r="R149" s="1" t="s">
        <v>26</v>
      </c>
    </row>
    <row r="150" spans="1:18" x14ac:dyDescent="0.25">
      <c r="A150" s="2" t="s">
        <v>25</v>
      </c>
      <c r="B150" s="2">
        <v>1884</v>
      </c>
      <c r="C150" s="3">
        <v>44155</v>
      </c>
      <c r="D150" s="2" t="str">
        <f>"004071988860"</f>
        <v>004071988860</v>
      </c>
      <c r="E150" s="3">
        <v>44141</v>
      </c>
      <c r="F150" s="2">
        <v>0</v>
      </c>
      <c r="G150" s="2">
        <v>0</v>
      </c>
      <c r="H150" s="3">
        <v>44156</v>
      </c>
      <c r="I150" s="3">
        <v>44176</v>
      </c>
      <c r="J150" s="2" t="s">
        <v>17</v>
      </c>
      <c r="K150" s="2">
        <v>10.029999999999999</v>
      </c>
      <c r="L150" s="2">
        <v>1.81</v>
      </c>
      <c r="M150" s="2">
        <v>8.2200000000000006</v>
      </c>
      <c r="N150" s="2">
        <v>-20</v>
      </c>
      <c r="O150" s="4">
        <f t="shared" si="2"/>
        <v>-164.4</v>
      </c>
      <c r="R150" s="1" t="s">
        <v>26</v>
      </c>
    </row>
    <row r="151" spans="1:18" x14ac:dyDescent="0.25">
      <c r="A151" s="2" t="s">
        <v>25</v>
      </c>
      <c r="B151" s="2">
        <v>1884</v>
      </c>
      <c r="C151" s="3">
        <v>44155</v>
      </c>
      <c r="D151" s="2" t="str">
        <f>"004071988853"</f>
        <v>004071988853</v>
      </c>
      <c r="E151" s="3">
        <v>44141</v>
      </c>
      <c r="F151" s="2">
        <v>0</v>
      </c>
      <c r="G151" s="2">
        <v>0</v>
      </c>
      <c r="H151" s="3">
        <v>44156</v>
      </c>
      <c r="I151" s="3">
        <v>44176</v>
      </c>
      <c r="J151" s="2" t="s">
        <v>17</v>
      </c>
      <c r="K151" s="2">
        <v>26.62</v>
      </c>
      <c r="L151" s="2">
        <v>4.8</v>
      </c>
      <c r="M151" s="2">
        <v>21.82</v>
      </c>
      <c r="N151" s="2">
        <v>-20</v>
      </c>
      <c r="O151" s="4">
        <f t="shared" si="2"/>
        <v>-436.4</v>
      </c>
      <c r="R151" s="1" t="s">
        <v>26</v>
      </c>
    </row>
    <row r="152" spans="1:18" x14ac:dyDescent="0.25">
      <c r="A152" s="2" t="s">
        <v>25</v>
      </c>
      <c r="B152" s="2">
        <v>1635</v>
      </c>
      <c r="C152" s="3">
        <v>44113</v>
      </c>
      <c r="D152" s="2" t="str">
        <f>"004064650766"</f>
        <v>004064650766</v>
      </c>
      <c r="E152" s="3">
        <v>44099</v>
      </c>
      <c r="F152" s="2">
        <v>0</v>
      </c>
      <c r="G152" s="2">
        <v>0</v>
      </c>
      <c r="H152" s="3">
        <v>44114</v>
      </c>
      <c r="I152" s="3">
        <v>44134</v>
      </c>
      <c r="J152" s="2" t="s">
        <v>17</v>
      </c>
      <c r="K152" s="2">
        <v>99.48</v>
      </c>
      <c r="L152" s="2">
        <v>17.940000000000001</v>
      </c>
      <c r="M152" s="2">
        <v>81.540000000000006</v>
      </c>
      <c r="N152" s="2">
        <v>-20</v>
      </c>
      <c r="O152" s="4">
        <f t="shared" si="2"/>
        <v>-1630.8000000000002</v>
      </c>
      <c r="R152" s="1" t="s">
        <v>26</v>
      </c>
    </row>
    <row r="153" spans="1:18" x14ac:dyDescent="0.25">
      <c r="A153" s="2" t="s">
        <v>25</v>
      </c>
      <c r="B153" s="2">
        <v>1884</v>
      </c>
      <c r="C153" s="3">
        <v>44155</v>
      </c>
      <c r="D153" s="2" t="str">
        <f>"004071988851"</f>
        <v>004071988851</v>
      </c>
      <c r="E153" s="3">
        <v>44141</v>
      </c>
      <c r="F153" s="2">
        <v>0</v>
      </c>
      <c r="G153" s="2">
        <v>0</v>
      </c>
      <c r="H153" s="3">
        <v>44156</v>
      </c>
      <c r="I153" s="3">
        <v>44176</v>
      </c>
      <c r="J153" s="2" t="s">
        <v>17</v>
      </c>
      <c r="K153" s="2">
        <v>90.76</v>
      </c>
      <c r="L153" s="2">
        <v>16.37</v>
      </c>
      <c r="M153" s="2">
        <v>74.39</v>
      </c>
      <c r="N153" s="2">
        <v>-20</v>
      </c>
      <c r="O153" s="4">
        <f t="shared" si="2"/>
        <v>-1487.8</v>
      </c>
      <c r="R153" s="1" t="s">
        <v>26</v>
      </c>
    </row>
    <row r="154" spans="1:18" x14ac:dyDescent="0.25">
      <c r="A154" s="2" t="s">
        <v>25</v>
      </c>
      <c r="B154" s="2">
        <v>1630</v>
      </c>
      <c r="C154" s="3">
        <v>44113</v>
      </c>
      <c r="D154" s="2" t="str">
        <f>"004064650765"</f>
        <v>004064650765</v>
      </c>
      <c r="E154" s="3">
        <v>44099</v>
      </c>
      <c r="F154" s="2">
        <v>0</v>
      </c>
      <c r="G154" s="2">
        <v>0</v>
      </c>
      <c r="H154" s="3">
        <v>44114</v>
      </c>
      <c r="I154" s="3">
        <v>44134</v>
      </c>
      <c r="J154" s="2" t="s">
        <v>17</v>
      </c>
      <c r="K154" s="2">
        <v>57.65</v>
      </c>
      <c r="L154" s="2">
        <v>10.4</v>
      </c>
      <c r="M154" s="2">
        <v>47.25</v>
      </c>
      <c r="N154" s="2">
        <v>-20</v>
      </c>
      <c r="O154" s="4">
        <f t="shared" si="2"/>
        <v>-945</v>
      </c>
      <c r="R154" s="1" t="s">
        <v>26</v>
      </c>
    </row>
    <row r="155" spans="1:18" x14ac:dyDescent="0.25">
      <c r="A155" s="2" t="s">
        <v>25</v>
      </c>
      <c r="B155" s="2">
        <v>1884</v>
      </c>
      <c r="C155" s="3">
        <v>44155</v>
      </c>
      <c r="D155" s="2" t="str">
        <f>"004071988850"</f>
        <v>004071988850</v>
      </c>
      <c r="E155" s="3">
        <v>44141</v>
      </c>
      <c r="F155" s="2">
        <v>0</v>
      </c>
      <c r="G155" s="2">
        <v>0</v>
      </c>
      <c r="H155" s="3">
        <v>44156</v>
      </c>
      <c r="I155" s="3">
        <v>44176</v>
      </c>
      <c r="J155" s="2" t="s">
        <v>17</v>
      </c>
      <c r="K155" s="2">
        <v>19.670000000000002</v>
      </c>
      <c r="L155" s="2">
        <v>3.55</v>
      </c>
      <c r="M155" s="2">
        <v>16.12</v>
      </c>
      <c r="N155" s="2">
        <v>-20</v>
      </c>
      <c r="O155" s="4">
        <f t="shared" si="2"/>
        <v>-322.40000000000003</v>
      </c>
      <c r="R155" s="1" t="s">
        <v>26</v>
      </c>
    </row>
    <row r="156" spans="1:18" x14ac:dyDescent="0.25">
      <c r="A156" s="2" t="s">
        <v>25</v>
      </c>
      <c r="B156" s="2">
        <v>1884</v>
      </c>
      <c r="C156" s="3">
        <v>44155</v>
      </c>
      <c r="D156" s="2" t="str">
        <f>"004071988857"</f>
        <v>004071988857</v>
      </c>
      <c r="E156" s="3">
        <v>44141</v>
      </c>
      <c r="F156" s="2">
        <v>0</v>
      </c>
      <c r="G156" s="2">
        <v>0</v>
      </c>
      <c r="H156" s="3">
        <v>44156</v>
      </c>
      <c r="I156" s="3">
        <v>44176</v>
      </c>
      <c r="J156" s="2" t="s">
        <v>17</v>
      </c>
      <c r="K156" s="2">
        <v>74.64</v>
      </c>
      <c r="L156" s="2">
        <v>13.46</v>
      </c>
      <c r="M156" s="2">
        <v>61.18</v>
      </c>
      <c r="N156" s="2">
        <v>-20</v>
      </c>
      <c r="O156" s="4">
        <f t="shared" si="2"/>
        <v>-1223.5999999999999</v>
      </c>
      <c r="R156" s="1" t="s">
        <v>26</v>
      </c>
    </row>
    <row r="157" spans="1:18" x14ac:dyDescent="0.25">
      <c r="A157" s="2" t="s">
        <v>25</v>
      </c>
      <c r="B157" s="2">
        <v>1872</v>
      </c>
      <c r="C157" s="3">
        <v>44155</v>
      </c>
      <c r="D157" s="2" t="str">
        <f>"004071988849"</f>
        <v>004071988849</v>
      </c>
      <c r="E157" s="3">
        <v>44141</v>
      </c>
      <c r="F157" s="2">
        <v>0</v>
      </c>
      <c r="G157" s="2">
        <v>0</v>
      </c>
      <c r="H157" s="3">
        <v>44156</v>
      </c>
      <c r="I157" s="3">
        <v>44176</v>
      </c>
      <c r="J157" s="2" t="s">
        <v>17</v>
      </c>
      <c r="K157" s="2">
        <v>23.83</v>
      </c>
      <c r="L157" s="2">
        <v>4.3</v>
      </c>
      <c r="M157" s="2">
        <v>19.53</v>
      </c>
      <c r="N157" s="2">
        <v>-20</v>
      </c>
      <c r="O157" s="4">
        <f t="shared" si="2"/>
        <v>-390.6</v>
      </c>
      <c r="R157" s="1" t="s">
        <v>26</v>
      </c>
    </row>
    <row r="158" spans="1:18" x14ac:dyDescent="0.25">
      <c r="A158" s="2" t="s">
        <v>25</v>
      </c>
      <c r="B158" s="2">
        <v>1884</v>
      </c>
      <c r="C158" s="3">
        <v>44155</v>
      </c>
      <c r="D158" s="2" t="str">
        <f>"004071988855"</f>
        <v>004071988855</v>
      </c>
      <c r="E158" s="3">
        <v>44141</v>
      </c>
      <c r="F158" s="2">
        <v>0</v>
      </c>
      <c r="G158" s="2">
        <v>0</v>
      </c>
      <c r="H158" s="3">
        <v>44156</v>
      </c>
      <c r="I158" s="3">
        <v>44176</v>
      </c>
      <c r="J158" s="2" t="s">
        <v>17</v>
      </c>
      <c r="K158" s="2">
        <v>111.31</v>
      </c>
      <c r="L158" s="2">
        <v>20.07</v>
      </c>
      <c r="M158" s="2">
        <v>91.24</v>
      </c>
      <c r="N158" s="2">
        <v>-20</v>
      </c>
      <c r="O158" s="4">
        <f t="shared" si="2"/>
        <v>-1824.8</v>
      </c>
      <c r="R158" s="1" t="s">
        <v>26</v>
      </c>
    </row>
    <row r="159" spans="1:18" x14ac:dyDescent="0.25">
      <c r="A159" s="2" t="s">
        <v>25</v>
      </c>
      <c r="B159" s="2">
        <v>1884</v>
      </c>
      <c r="C159" s="3">
        <v>44155</v>
      </c>
      <c r="D159" s="2" t="str">
        <f>"004071988846"</f>
        <v>004071988846</v>
      </c>
      <c r="E159" s="3">
        <v>44141</v>
      </c>
      <c r="F159" s="2">
        <v>0</v>
      </c>
      <c r="G159" s="2">
        <v>0</v>
      </c>
      <c r="H159" s="3">
        <v>44156</v>
      </c>
      <c r="I159" s="3">
        <v>44176</v>
      </c>
      <c r="J159" s="2" t="s">
        <v>17</v>
      </c>
      <c r="K159" s="2">
        <v>13.7</v>
      </c>
      <c r="L159" s="2">
        <v>2.4700000000000002</v>
      </c>
      <c r="M159" s="2">
        <v>11.23</v>
      </c>
      <c r="N159" s="2">
        <v>-20</v>
      </c>
      <c r="O159" s="4">
        <f t="shared" si="2"/>
        <v>-224.60000000000002</v>
      </c>
      <c r="R159" s="1" t="s">
        <v>26</v>
      </c>
    </row>
    <row r="160" spans="1:18" x14ac:dyDescent="0.25">
      <c r="A160" s="2" t="s">
        <v>25</v>
      </c>
      <c r="B160" s="2">
        <v>1884</v>
      </c>
      <c r="C160" s="3">
        <v>44155</v>
      </c>
      <c r="D160" s="2" t="str">
        <f>"004071988845"</f>
        <v>004071988845</v>
      </c>
      <c r="E160" s="3">
        <v>44141</v>
      </c>
      <c r="F160" s="2">
        <v>0</v>
      </c>
      <c r="G160" s="2">
        <v>0</v>
      </c>
      <c r="H160" s="3">
        <v>44156</v>
      </c>
      <c r="I160" s="3">
        <v>44176</v>
      </c>
      <c r="J160" s="2" t="s">
        <v>17</v>
      </c>
      <c r="K160" s="2">
        <v>22.77</v>
      </c>
      <c r="L160" s="2">
        <v>4.1100000000000003</v>
      </c>
      <c r="M160" s="2">
        <v>18.66</v>
      </c>
      <c r="N160" s="2">
        <v>-20</v>
      </c>
      <c r="O160" s="4">
        <f t="shared" si="2"/>
        <v>-373.2</v>
      </c>
      <c r="R160" s="1" t="s">
        <v>26</v>
      </c>
    </row>
    <row r="161" spans="1:18" x14ac:dyDescent="0.25">
      <c r="A161" s="2" t="s">
        <v>25</v>
      </c>
      <c r="B161" s="2">
        <v>1877</v>
      </c>
      <c r="C161" s="3">
        <v>44155</v>
      </c>
      <c r="D161" s="2" t="str">
        <f>"004071988832"</f>
        <v>004071988832</v>
      </c>
      <c r="E161" s="3">
        <v>44141</v>
      </c>
      <c r="F161" s="2">
        <v>0</v>
      </c>
      <c r="G161" s="2">
        <v>0</v>
      </c>
      <c r="H161" s="3">
        <v>44156</v>
      </c>
      <c r="I161" s="3">
        <v>44176</v>
      </c>
      <c r="J161" s="2" t="s">
        <v>17</v>
      </c>
      <c r="K161" s="2">
        <v>809.27</v>
      </c>
      <c r="L161" s="2">
        <v>145.93</v>
      </c>
      <c r="M161" s="2">
        <v>663.34</v>
      </c>
      <c r="N161" s="2">
        <v>-20</v>
      </c>
      <c r="O161" s="4">
        <f t="shared" si="2"/>
        <v>-13266.800000000001</v>
      </c>
      <c r="R161" s="1" t="s">
        <v>26</v>
      </c>
    </row>
    <row r="162" spans="1:18" x14ac:dyDescent="0.25">
      <c r="A162" s="2" t="s">
        <v>25</v>
      </c>
      <c r="B162" s="2">
        <v>1871</v>
      </c>
      <c r="C162" s="3">
        <v>44155</v>
      </c>
      <c r="D162" s="2" t="str">
        <f>"004071988861"</f>
        <v>004071988861</v>
      </c>
      <c r="E162" s="3">
        <v>44141</v>
      </c>
      <c r="F162" s="2">
        <v>0</v>
      </c>
      <c r="G162" s="2">
        <v>0</v>
      </c>
      <c r="H162" s="3">
        <v>44156</v>
      </c>
      <c r="I162" s="3">
        <v>44176</v>
      </c>
      <c r="J162" s="2" t="s">
        <v>17</v>
      </c>
      <c r="K162" s="2">
        <v>22.36</v>
      </c>
      <c r="L162" s="2">
        <v>4.03</v>
      </c>
      <c r="M162" s="2">
        <v>18.329999999999998</v>
      </c>
      <c r="N162" s="2">
        <v>-20</v>
      </c>
      <c r="O162" s="4">
        <f t="shared" si="2"/>
        <v>-366.59999999999997</v>
      </c>
      <c r="R162" s="1" t="s">
        <v>26</v>
      </c>
    </row>
    <row r="163" spans="1:18" x14ac:dyDescent="0.25">
      <c r="A163" s="2" t="s">
        <v>25</v>
      </c>
      <c r="B163" s="2">
        <v>1880</v>
      </c>
      <c r="C163" s="3">
        <v>44155</v>
      </c>
      <c r="D163" s="2" t="str">
        <f>"004071988831"</f>
        <v>004071988831</v>
      </c>
      <c r="E163" s="3">
        <v>44141</v>
      </c>
      <c r="F163" s="2">
        <v>0</v>
      </c>
      <c r="G163" s="2">
        <v>0</v>
      </c>
      <c r="H163" s="3">
        <v>44156</v>
      </c>
      <c r="I163" s="3">
        <v>44176</v>
      </c>
      <c r="J163" s="2" t="s">
        <v>17</v>
      </c>
      <c r="K163" s="2">
        <v>192.64</v>
      </c>
      <c r="L163" s="2">
        <v>34.74</v>
      </c>
      <c r="M163" s="2">
        <v>157.9</v>
      </c>
      <c r="N163" s="2">
        <v>-20</v>
      </c>
      <c r="O163" s="4">
        <f t="shared" si="2"/>
        <v>-3158</v>
      </c>
      <c r="R163" s="1" t="s">
        <v>26</v>
      </c>
    </row>
    <row r="164" spans="1:18" x14ac:dyDescent="0.25">
      <c r="A164" s="2" t="s">
        <v>25</v>
      </c>
      <c r="B164" s="2">
        <v>1884</v>
      </c>
      <c r="C164" s="3">
        <v>44155</v>
      </c>
      <c r="D164" s="2" t="str">
        <f>"004071988842"</f>
        <v>004071988842</v>
      </c>
      <c r="E164" s="3">
        <v>44141</v>
      </c>
      <c r="F164" s="2">
        <v>0</v>
      </c>
      <c r="G164" s="2">
        <v>0</v>
      </c>
      <c r="H164" s="3">
        <v>44156</v>
      </c>
      <c r="I164" s="3">
        <v>44176</v>
      </c>
      <c r="J164" s="2" t="s">
        <v>17</v>
      </c>
      <c r="K164" s="2">
        <v>43.98</v>
      </c>
      <c r="L164" s="2">
        <v>7.93</v>
      </c>
      <c r="M164" s="2">
        <v>36.049999999999997</v>
      </c>
      <c r="N164" s="2">
        <v>-20</v>
      </c>
      <c r="O164" s="4">
        <f t="shared" si="2"/>
        <v>-721</v>
      </c>
      <c r="R164" s="1" t="s">
        <v>26</v>
      </c>
    </row>
    <row r="165" spans="1:18" x14ac:dyDescent="0.25">
      <c r="A165" s="2" t="s">
        <v>25</v>
      </c>
      <c r="B165" s="2">
        <v>1871</v>
      </c>
      <c r="C165" s="3">
        <v>44155</v>
      </c>
      <c r="D165" s="2" t="str">
        <f>"004071988830"</f>
        <v>004071988830</v>
      </c>
      <c r="E165" s="3">
        <v>44141</v>
      </c>
      <c r="F165" s="2">
        <v>0</v>
      </c>
      <c r="G165" s="2">
        <v>0</v>
      </c>
      <c r="H165" s="3">
        <v>44156</v>
      </c>
      <c r="I165" s="3">
        <v>44176</v>
      </c>
      <c r="J165" s="2" t="s">
        <v>17</v>
      </c>
      <c r="K165" s="2">
        <v>166.05</v>
      </c>
      <c r="L165" s="2">
        <v>29.94</v>
      </c>
      <c r="M165" s="2">
        <v>136.11000000000001</v>
      </c>
      <c r="N165" s="2">
        <v>-20</v>
      </c>
      <c r="O165" s="4">
        <f t="shared" si="2"/>
        <v>-2722.2000000000003</v>
      </c>
      <c r="R165" s="1" t="s">
        <v>26</v>
      </c>
    </row>
    <row r="166" spans="1:18" x14ac:dyDescent="0.25">
      <c r="A166" s="2" t="s">
        <v>25</v>
      </c>
      <c r="B166" s="2">
        <v>1884</v>
      </c>
      <c r="C166" s="3">
        <v>44155</v>
      </c>
      <c r="D166" s="2" t="str">
        <f>"004071988863"</f>
        <v>004071988863</v>
      </c>
      <c r="E166" s="3">
        <v>44141</v>
      </c>
      <c r="F166" s="2">
        <v>0</v>
      </c>
      <c r="G166" s="2">
        <v>0</v>
      </c>
      <c r="H166" s="3">
        <v>44156</v>
      </c>
      <c r="I166" s="3">
        <v>44176</v>
      </c>
      <c r="J166" s="2" t="s">
        <v>17</v>
      </c>
      <c r="K166" s="2">
        <v>45.87</v>
      </c>
      <c r="L166" s="2">
        <v>8.27</v>
      </c>
      <c r="M166" s="2">
        <v>37.6</v>
      </c>
      <c r="N166" s="2">
        <v>-20</v>
      </c>
      <c r="O166" s="4">
        <f t="shared" si="2"/>
        <v>-752</v>
      </c>
      <c r="R166" s="1" t="s">
        <v>26</v>
      </c>
    </row>
    <row r="167" spans="1:18" x14ac:dyDescent="0.25">
      <c r="A167" s="2" t="s">
        <v>25</v>
      </c>
      <c r="B167" s="2">
        <v>1884</v>
      </c>
      <c r="C167" s="3">
        <v>44155</v>
      </c>
      <c r="D167" s="2" t="str">
        <f>"004071988867"</f>
        <v>004071988867</v>
      </c>
      <c r="E167" s="3">
        <v>44141</v>
      </c>
      <c r="F167" s="2">
        <v>0</v>
      </c>
      <c r="G167" s="2">
        <v>0</v>
      </c>
      <c r="H167" s="3">
        <v>44156</v>
      </c>
      <c r="I167" s="3">
        <v>44176</v>
      </c>
      <c r="J167" s="2" t="s">
        <v>17</v>
      </c>
      <c r="K167" s="2">
        <v>161.08000000000001</v>
      </c>
      <c r="L167" s="2">
        <v>29.05</v>
      </c>
      <c r="M167" s="2">
        <v>132.03</v>
      </c>
      <c r="N167" s="2">
        <v>-20</v>
      </c>
      <c r="O167" s="4">
        <f t="shared" si="2"/>
        <v>-2640.6</v>
      </c>
      <c r="R167" s="1" t="s">
        <v>26</v>
      </c>
    </row>
    <row r="168" spans="1:18" x14ac:dyDescent="0.25">
      <c r="A168" s="2" t="s">
        <v>25</v>
      </c>
      <c r="B168" s="2">
        <v>1867</v>
      </c>
      <c r="C168" s="3">
        <v>44155</v>
      </c>
      <c r="D168" s="2" t="str">
        <f>"004071988852"</f>
        <v>004071988852</v>
      </c>
      <c r="E168" s="3">
        <v>44141</v>
      </c>
      <c r="F168" s="2">
        <v>0</v>
      </c>
      <c r="G168" s="2">
        <v>0</v>
      </c>
      <c r="H168" s="3">
        <v>44156</v>
      </c>
      <c r="I168" s="3">
        <v>44176</v>
      </c>
      <c r="J168" s="2" t="s">
        <v>17</v>
      </c>
      <c r="K168" s="2">
        <v>434.41</v>
      </c>
      <c r="L168" s="2">
        <v>78.34</v>
      </c>
      <c r="M168" s="2">
        <v>356.07</v>
      </c>
      <c r="N168" s="2">
        <v>-20</v>
      </c>
      <c r="O168" s="4">
        <f t="shared" si="2"/>
        <v>-7121.4</v>
      </c>
      <c r="R168" s="1" t="s">
        <v>26</v>
      </c>
    </row>
    <row r="169" spans="1:18" x14ac:dyDescent="0.25">
      <c r="A169" s="2" t="s">
        <v>25</v>
      </c>
      <c r="B169" s="2">
        <v>1871</v>
      </c>
      <c r="C169" s="3">
        <v>44155</v>
      </c>
      <c r="D169" s="2" t="str">
        <f>"004071988872"</f>
        <v>004071988872</v>
      </c>
      <c r="E169" s="3">
        <v>44141</v>
      </c>
      <c r="F169" s="2">
        <v>0</v>
      </c>
      <c r="G169" s="2">
        <v>0</v>
      </c>
      <c r="H169" s="3">
        <v>44156</v>
      </c>
      <c r="I169" s="3">
        <v>44176</v>
      </c>
      <c r="J169" s="2" t="s">
        <v>17</v>
      </c>
      <c r="K169" s="2">
        <v>73.05</v>
      </c>
      <c r="L169" s="2">
        <v>13.17</v>
      </c>
      <c r="M169" s="2">
        <v>59.88</v>
      </c>
      <c r="N169" s="2">
        <v>-20</v>
      </c>
      <c r="O169" s="4">
        <f t="shared" si="2"/>
        <v>-1197.6000000000001</v>
      </c>
      <c r="R169" s="1" t="s">
        <v>26</v>
      </c>
    </row>
    <row r="170" spans="1:18" x14ac:dyDescent="0.25">
      <c r="A170" s="2" t="s">
        <v>25</v>
      </c>
      <c r="B170" s="2">
        <v>1884</v>
      </c>
      <c r="C170" s="3">
        <v>44155</v>
      </c>
      <c r="D170" s="2" t="str">
        <f>"004071988847"</f>
        <v>004071988847</v>
      </c>
      <c r="E170" s="3">
        <v>44141</v>
      </c>
      <c r="F170" s="2">
        <v>0</v>
      </c>
      <c r="G170" s="2">
        <v>0</v>
      </c>
      <c r="H170" s="3">
        <v>44156</v>
      </c>
      <c r="I170" s="3">
        <v>44176</v>
      </c>
      <c r="J170" s="2" t="s">
        <v>17</v>
      </c>
      <c r="K170" s="2">
        <v>43.3</v>
      </c>
      <c r="L170" s="2">
        <v>7.81</v>
      </c>
      <c r="M170" s="2">
        <v>35.49</v>
      </c>
      <c r="N170" s="2">
        <v>-20</v>
      </c>
      <c r="O170" s="4">
        <f t="shared" si="2"/>
        <v>-709.80000000000007</v>
      </c>
      <c r="R170" s="1" t="s">
        <v>26</v>
      </c>
    </row>
    <row r="171" spans="1:18" x14ac:dyDescent="0.25">
      <c r="A171" s="2" t="s">
        <v>25</v>
      </c>
      <c r="B171" s="2">
        <v>1884</v>
      </c>
      <c r="C171" s="3">
        <v>44155</v>
      </c>
      <c r="D171" s="2" t="str">
        <f>"004071988829"</f>
        <v>004071988829</v>
      </c>
      <c r="E171" s="3">
        <v>44141</v>
      </c>
      <c r="F171" s="2">
        <v>0</v>
      </c>
      <c r="G171" s="2">
        <v>0</v>
      </c>
      <c r="H171" s="3">
        <v>44156</v>
      </c>
      <c r="I171" s="3">
        <v>44176</v>
      </c>
      <c r="J171" s="2" t="s">
        <v>17</v>
      </c>
      <c r="K171" s="2">
        <v>58.44</v>
      </c>
      <c r="L171" s="2">
        <v>10.54</v>
      </c>
      <c r="M171" s="2">
        <v>47.9</v>
      </c>
      <c r="N171" s="2">
        <v>-20</v>
      </c>
      <c r="O171" s="4">
        <f t="shared" si="2"/>
        <v>-958</v>
      </c>
      <c r="R171" s="1" t="s">
        <v>26</v>
      </c>
    </row>
    <row r="172" spans="1:18" x14ac:dyDescent="0.25">
      <c r="A172" s="2" t="s">
        <v>25</v>
      </c>
      <c r="B172" s="2">
        <v>1871</v>
      </c>
      <c r="C172" s="3">
        <v>44155</v>
      </c>
      <c r="D172" s="2" t="str">
        <f>"004071988844"</f>
        <v>004071988844</v>
      </c>
      <c r="E172" s="3">
        <v>44141</v>
      </c>
      <c r="F172" s="2">
        <v>0</v>
      </c>
      <c r="G172" s="2">
        <v>0</v>
      </c>
      <c r="H172" s="3">
        <v>44156</v>
      </c>
      <c r="I172" s="3">
        <v>44176</v>
      </c>
      <c r="J172" s="2" t="s">
        <v>17</v>
      </c>
      <c r="K172" s="2">
        <v>39.049999999999997</v>
      </c>
      <c r="L172" s="2">
        <v>7.04</v>
      </c>
      <c r="M172" s="2">
        <v>32.01</v>
      </c>
      <c r="N172" s="2">
        <v>-20</v>
      </c>
      <c r="O172" s="4">
        <f t="shared" si="2"/>
        <v>-640.19999999999993</v>
      </c>
      <c r="R172" s="1" t="s">
        <v>26</v>
      </c>
    </row>
    <row r="173" spans="1:18" x14ac:dyDescent="0.25">
      <c r="A173" s="2" t="s">
        <v>25</v>
      </c>
      <c r="B173" s="2">
        <v>1884</v>
      </c>
      <c r="C173" s="3">
        <v>44155</v>
      </c>
      <c r="D173" s="2" t="str">
        <f>"004071988854"</f>
        <v>004071988854</v>
      </c>
      <c r="E173" s="3">
        <v>44141</v>
      </c>
      <c r="F173" s="2">
        <v>0</v>
      </c>
      <c r="G173" s="2">
        <v>0</v>
      </c>
      <c r="H173" s="3">
        <v>44156</v>
      </c>
      <c r="I173" s="3">
        <v>44176</v>
      </c>
      <c r="J173" s="2" t="s">
        <v>17</v>
      </c>
      <c r="K173" s="2">
        <v>273.24</v>
      </c>
      <c r="L173" s="2">
        <v>49.27</v>
      </c>
      <c r="M173" s="2">
        <v>223.97</v>
      </c>
      <c r="N173" s="2">
        <v>-20</v>
      </c>
      <c r="O173" s="4">
        <f t="shared" si="2"/>
        <v>-4479.3999999999996</v>
      </c>
      <c r="R173" s="1" t="s">
        <v>26</v>
      </c>
    </row>
    <row r="174" spans="1:18" x14ac:dyDescent="0.25">
      <c r="A174" s="2" t="s">
        <v>25</v>
      </c>
      <c r="B174" s="2">
        <v>1884</v>
      </c>
      <c r="C174" s="3">
        <v>44155</v>
      </c>
      <c r="D174" s="2" t="str">
        <f>"004071988871"</f>
        <v>004071988871</v>
      </c>
      <c r="E174" s="3">
        <v>44141</v>
      </c>
      <c r="F174" s="2">
        <v>0</v>
      </c>
      <c r="G174" s="2">
        <v>0</v>
      </c>
      <c r="H174" s="3">
        <v>44156</v>
      </c>
      <c r="I174" s="3">
        <v>44176</v>
      </c>
      <c r="J174" s="2" t="s">
        <v>17</v>
      </c>
      <c r="K174" s="2">
        <v>65.33</v>
      </c>
      <c r="L174" s="2">
        <v>11.78</v>
      </c>
      <c r="M174" s="2">
        <v>53.55</v>
      </c>
      <c r="N174" s="2">
        <v>-20</v>
      </c>
      <c r="O174" s="4">
        <f t="shared" si="2"/>
        <v>-1071</v>
      </c>
      <c r="R174" s="1" t="s">
        <v>26</v>
      </c>
    </row>
    <row r="175" spans="1:18" x14ac:dyDescent="0.25">
      <c r="A175" s="2" t="s">
        <v>25</v>
      </c>
      <c r="B175" s="2">
        <v>1879</v>
      </c>
      <c r="C175" s="3">
        <v>44155</v>
      </c>
      <c r="D175" s="2" t="str">
        <f>"004071988869"</f>
        <v>004071988869</v>
      </c>
      <c r="E175" s="3">
        <v>44141</v>
      </c>
      <c r="F175" s="2">
        <v>0</v>
      </c>
      <c r="G175" s="2">
        <v>0</v>
      </c>
      <c r="H175" s="3">
        <v>44156</v>
      </c>
      <c r="I175" s="3">
        <v>44176</v>
      </c>
      <c r="J175" s="2" t="s">
        <v>17</v>
      </c>
      <c r="K175" s="2">
        <v>163.58000000000001</v>
      </c>
      <c r="L175" s="2">
        <v>29.5</v>
      </c>
      <c r="M175" s="2">
        <v>134.08000000000001</v>
      </c>
      <c r="N175" s="2">
        <v>-20</v>
      </c>
      <c r="O175" s="4">
        <f t="shared" si="2"/>
        <v>-2681.6000000000004</v>
      </c>
      <c r="R175" s="1" t="s">
        <v>26</v>
      </c>
    </row>
    <row r="176" spans="1:18" x14ac:dyDescent="0.25">
      <c r="A176" s="2" t="s">
        <v>25</v>
      </c>
      <c r="B176" s="2">
        <v>1884</v>
      </c>
      <c r="C176" s="3">
        <v>44155</v>
      </c>
      <c r="D176" s="2" t="str">
        <f>"004071988843"</f>
        <v>004071988843</v>
      </c>
      <c r="E176" s="3">
        <v>44141</v>
      </c>
      <c r="F176" s="2">
        <v>0</v>
      </c>
      <c r="G176" s="2">
        <v>0</v>
      </c>
      <c r="H176" s="3">
        <v>44156</v>
      </c>
      <c r="I176" s="3">
        <v>44176</v>
      </c>
      <c r="J176" s="2" t="s">
        <v>17</v>
      </c>
      <c r="K176" s="2">
        <v>319.08999999999997</v>
      </c>
      <c r="L176" s="2">
        <v>57.54</v>
      </c>
      <c r="M176" s="2">
        <v>261.55</v>
      </c>
      <c r="N176" s="2">
        <v>-20</v>
      </c>
      <c r="O176" s="4">
        <f t="shared" si="2"/>
        <v>-5231</v>
      </c>
      <c r="R176" s="1" t="s">
        <v>26</v>
      </c>
    </row>
    <row r="177" spans="1:18" x14ac:dyDescent="0.25">
      <c r="A177" s="2" t="s">
        <v>25</v>
      </c>
      <c r="B177" s="2">
        <v>1884</v>
      </c>
      <c r="C177" s="3">
        <v>44155</v>
      </c>
      <c r="D177" s="2" t="str">
        <f>"004071988828"</f>
        <v>004071988828</v>
      </c>
      <c r="E177" s="3">
        <v>44141</v>
      </c>
      <c r="F177" s="2">
        <v>0</v>
      </c>
      <c r="G177" s="2">
        <v>0</v>
      </c>
      <c r="H177" s="3">
        <v>44156</v>
      </c>
      <c r="I177" s="3">
        <v>44176</v>
      </c>
      <c r="J177" s="2" t="s">
        <v>17</v>
      </c>
      <c r="K177" s="2">
        <v>11.96</v>
      </c>
      <c r="L177" s="2">
        <v>2.16</v>
      </c>
      <c r="M177" s="2">
        <v>9.8000000000000007</v>
      </c>
      <c r="N177" s="2">
        <v>-20</v>
      </c>
      <c r="O177" s="4">
        <f t="shared" si="2"/>
        <v>-196</v>
      </c>
      <c r="R177" s="1" t="s">
        <v>26</v>
      </c>
    </row>
    <row r="178" spans="1:18" x14ac:dyDescent="0.25">
      <c r="A178" s="2" t="s">
        <v>25</v>
      </c>
      <c r="B178" s="2">
        <v>1884</v>
      </c>
      <c r="C178" s="3">
        <v>44155</v>
      </c>
      <c r="D178" s="2" t="str">
        <f>"004071988827"</f>
        <v>004071988827</v>
      </c>
      <c r="E178" s="3">
        <v>44141</v>
      </c>
      <c r="F178" s="2">
        <v>0</v>
      </c>
      <c r="G178" s="2">
        <v>0</v>
      </c>
      <c r="H178" s="3">
        <v>44156</v>
      </c>
      <c r="I178" s="3">
        <v>44176</v>
      </c>
      <c r="J178" s="2" t="s">
        <v>17</v>
      </c>
      <c r="K178" s="2">
        <v>197.7</v>
      </c>
      <c r="L178" s="2">
        <v>35.65</v>
      </c>
      <c r="M178" s="2">
        <v>162.05000000000001</v>
      </c>
      <c r="N178" s="2">
        <v>-20</v>
      </c>
      <c r="O178" s="4">
        <f t="shared" si="2"/>
        <v>-3241</v>
      </c>
      <c r="R178" s="1" t="s">
        <v>26</v>
      </c>
    </row>
    <row r="179" spans="1:18" x14ac:dyDescent="0.25">
      <c r="A179" s="2" t="s">
        <v>25</v>
      </c>
      <c r="B179" s="2">
        <v>1884</v>
      </c>
      <c r="C179" s="3">
        <v>44155</v>
      </c>
      <c r="D179" s="2" t="str">
        <f>"004071988826"</f>
        <v>004071988826</v>
      </c>
      <c r="E179" s="3">
        <v>44141</v>
      </c>
      <c r="F179" s="2">
        <v>0</v>
      </c>
      <c r="G179" s="2">
        <v>0</v>
      </c>
      <c r="H179" s="3">
        <v>44156</v>
      </c>
      <c r="I179" s="3">
        <v>44176</v>
      </c>
      <c r="J179" s="2" t="s">
        <v>17</v>
      </c>
      <c r="K179" s="2">
        <v>46.77</v>
      </c>
      <c r="L179" s="2">
        <v>8.43</v>
      </c>
      <c r="M179" s="2">
        <v>38.340000000000003</v>
      </c>
      <c r="N179" s="2">
        <v>-20</v>
      </c>
      <c r="O179" s="4">
        <f t="shared" si="2"/>
        <v>-766.80000000000007</v>
      </c>
      <c r="R179" s="1" t="s">
        <v>26</v>
      </c>
    </row>
    <row r="180" spans="1:18" x14ac:dyDescent="0.25">
      <c r="A180" s="2" t="s">
        <v>23</v>
      </c>
      <c r="B180" s="2">
        <v>2050</v>
      </c>
      <c r="C180" s="3">
        <v>44176</v>
      </c>
      <c r="D180" s="2" t="str">
        <f>"20252"</f>
        <v>20252</v>
      </c>
      <c r="E180" s="3">
        <v>44168</v>
      </c>
      <c r="F180" s="2">
        <v>0</v>
      </c>
      <c r="G180" s="2">
        <v>0</v>
      </c>
      <c r="H180" s="3">
        <v>44177</v>
      </c>
      <c r="I180" s="3">
        <v>44198</v>
      </c>
      <c r="J180" s="2" t="s">
        <v>17</v>
      </c>
      <c r="K180" s="4">
        <v>2897.7</v>
      </c>
      <c r="L180" s="2">
        <v>522.54</v>
      </c>
      <c r="M180" s="4">
        <v>2375.16</v>
      </c>
      <c r="N180" s="2">
        <v>-21</v>
      </c>
      <c r="O180" s="4">
        <f t="shared" si="2"/>
        <v>-49878.36</v>
      </c>
      <c r="R180" s="1" t="s">
        <v>24</v>
      </c>
    </row>
    <row r="181" spans="1:18" x14ac:dyDescent="0.25">
      <c r="A181" s="2" t="s">
        <v>76</v>
      </c>
      <c r="B181" s="2">
        <v>2021</v>
      </c>
      <c r="C181" s="3">
        <v>44169</v>
      </c>
      <c r="D181" s="2" t="s">
        <v>77</v>
      </c>
      <c r="E181" s="3">
        <v>44161</v>
      </c>
      <c r="F181" s="2">
        <v>0</v>
      </c>
      <c r="G181" s="2">
        <v>0</v>
      </c>
      <c r="H181" s="3">
        <v>44170</v>
      </c>
      <c r="I181" s="3">
        <v>44191</v>
      </c>
      <c r="J181" s="2" t="s">
        <v>17</v>
      </c>
      <c r="K181" s="2">
        <v>302</v>
      </c>
      <c r="L181" s="2">
        <v>0</v>
      </c>
      <c r="M181" s="2">
        <v>302</v>
      </c>
      <c r="N181" s="2">
        <v>-21</v>
      </c>
      <c r="O181" s="4">
        <f t="shared" si="2"/>
        <v>-6342</v>
      </c>
      <c r="R181" s="1" t="s">
        <v>29</v>
      </c>
    </row>
    <row r="182" spans="1:18" x14ac:dyDescent="0.25">
      <c r="A182" s="2" t="s">
        <v>78</v>
      </c>
      <c r="B182" s="2">
        <v>1636</v>
      </c>
      <c r="C182" s="3">
        <v>44113</v>
      </c>
      <c r="D182" s="2" t="s">
        <v>79</v>
      </c>
      <c r="E182" s="3">
        <v>44099</v>
      </c>
      <c r="F182" s="2">
        <v>0</v>
      </c>
      <c r="G182" s="2">
        <v>0</v>
      </c>
      <c r="H182" s="3">
        <v>44114</v>
      </c>
      <c r="I182" s="3">
        <v>44135</v>
      </c>
      <c r="J182" s="2" t="s">
        <v>17</v>
      </c>
      <c r="K182" s="4">
        <v>9403.08</v>
      </c>
      <c r="L182" s="4">
        <v>1695.64</v>
      </c>
      <c r="M182" s="4">
        <v>7707.44</v>
      </c>
      <c r="N182" s="2">
        <v>-21</v>
      </c>
      <c r="O182" s="4">
        <f t="shared" si="2"/>
        <v>-161856.24</v>
      </c>
      <c r="R182" s="1" t="s">
        <v>80</v>
      </c>
    </row>
    <row r="183" spans="1:18" ht="24" x14ac:dyDescent="0.25">
      <c r="A183" s="2" t="s">
        <v>81</v>
      </c>
      <c r="B183" s="2">
        <v>1816</v>
      </c>
      <c r="C183" s="3">
        <v>44141</v>
      </c>
      <c r="D183" s="2" t="s">
        <v>82</v>
      </c>
      <c r="E183" s="3">
        <v>44133</v>
      </c>
      <c r="F183" s="2">
        <v>0</v>
      </c>
      <c r="G183" s="2">
        <v>0</v>
      </c>
      <c r="H183" s="3">
        <v>44142</v>
      </c>
      <c r="I183" s="3">
        <v>44163</v>
      </c>
      <c r="J183" s="2" t="s">
        <v>17</v>
      </c>
      <c r="K183" s="2">
        <v>838.75</v>
      </c>
      <c r="L183" s="2">
        <v>151.25</v>
      </c>
      <c r="M183" s="2">
        <v>687.5</v>
      </c>
      <c r="N183" s="2">
        <v>-21</v>
      </c>
      <c r="O183" s="4">
        <f t="shared" si="2"/>
        <v>-14437.5</v>
      </c>
      <c r="R183" s="1" t="s">
        <v>83</v>
      </c>
    </row>
    <row r="184" spans="1:18" ht="24" x14ac:dyDescent="0.25">
      <c r="A184" s="2" t="s">
        <v>69</v>
      </c>
      <c r="B184" s="2">
        <v>1620</v>
      </c>
      <c r="C184" s="3">
        <v>44113</v>
      </c>
      <c r="D184" s="2" t="s">
        <v>84</v>
      </c>
      <c r="E184" s="3">
        <v>44074</v>
      </c>
      <c r="F184" s="2">
        <v>0</v>
      </c>
      <c r="G184" s="2">
        <v>0</v>
      </c>
      <c r="H184" s="3">
        <v>44114</v>
      </c>
      <c r="I184" s="3">
        <v>44135</v>
      </c>
      <c r="J184" s="2" t="s">
        <v>17</v>
      </c>
      <c r="K184" s="2">
        <v>524.6</v>
      </c>
      <c r="L184" s="2">
        <v>94.6</v>
      </c>
      <c r="M184" s="2">
        <v>430</v>
      </c>
      <c r="N184" s="2">
        <v>-21</v>
      </c>
      <c r="O184" s="4">
        <f t="shared" si="2"/>
        <v>-9030</v>
      </c>
      <c r="R184" s="1" t="s">
        <v>71</v>
      </c>
    </row>
    <row r="185" spans="1:18" x14ac:dyDescent="0.25">
      <c r="A185" s="2" t="s">
        <v>42</v>
      </c>
      <c r="B185" s="2">
        <v>1619</v>
      </c>
      <c r="C185" s="3">
        <v>44113</v>
      </c>
      <c r="D185" s="2" t="s">
        <v>85</v>
      </c>
      <c r="E185" s="3">
        <v>44092</v>
      </c>
      <c r="F185" s="2">
        <v>0</v>
      </c>
      <c r="G185" s="2">
        <v>0</v>
      </c>
      <c r="H185" s="3">
        <v>44114</v>
      </c>
      <c r="I185" s="3">
        <v>44135</v>
      </c>
      <c r="J185" s="2" t="s">
        <v>17</v>
      </c>
      <c r="K185" s="2">
        <v>189.47</v>
      </c>
      <c r="L185" s="2">
        <v>34.17</v>
      </c>
      <c r="M185" s="2">
        <v>155.30000000000001</v>
      </c>
      <c r="N185" s="2">
        <v>-21</v>
      </c>
      <c r="O185" s="4">
        <f t="shared" si="2"/>
        <v>-3261.3</v>
      </c>
      <c r="R185" s="1" t="s">
        <v>44</v>
      </c>
    </row>
    <row r="186" spans="1:18" x14ac:dyDescent="0.25">
      <c r="A186" s="2" t="s">
        <v>42</v>
      </c>
      <c r="B186" s="2">
        <v>1614</v>
      </c>
      <c r="C186" s="3">
        <v>44113</v>
      </c>
      <c r="D186" s="2" t="s">
        <v>86</v>
      </c>
      <c r="E186" s="3">
        <v>44092</v>
      </c>
      <c r="F186" s="2">
        <v>0</v>
      </c>
      <c r="G186" s="2">
        <v>0</v>
      </c>
      <c r="H186" s="3">
        <v>44114</v>
      </c>
      <c r="I186" s="3">
        <v>44135</v>
      </c>
      <c r="J186" s="2" t="s">
        <v>17</v>
      </c>
      <c r="K186" s="4">
        <v>1462.4</v>
      </c>
      <c r="L186" s="2">
        <v>263.70999999999998</v>
      </c>
      <c r="M186" s="4">
        <v>1198.69</v>
      </c>
      <c r="N186" s="2">
        <v>-21</v>
      </c>
      <c r="O186" s="4">
        <f t="shared" si="2"/>
        <v>-25172.49</v>
      </c>
      <c r="R186" s="1" t="s">
        <v>44</v>
      </c>
    </row>
    <row r="187" spans="1:18" x14ac:dyDescent="0.25">
      <c r="A187" s="2" t="s">
        <v>87</v>
      </c>
      <c r="B187" s="2">
        <v>2001</v>
      </c>
      <c r="C187" s="3">
        <v>44163</v>
      </c>
      <c r="D187" s="2" t="str">
        <f>"2020114900"</f>
        <v>2020114900</v>
      </c>
      <c r="E187" s="3">
        <v>44152</v>
      </c>
      <c r="F187" s="2">
        <v>0</v>
      </c>
      <c r="G187" s="2">
        <v>0</v>
      </c>
      <c r="H187" s="3">
        <v>44163</v>
      </c>
      <c r="I187" s="3">
        <v>44184</v>
      </c>
      <c r="J187" s="2" t="s">
        <v>17</v>
      </c>
      <c r="K187" s="2">
        <v>170.24</v>
      </c>
      <c r="L187" s="2">
        <v>30.7</v>
      </c>
      <c r="M187" s="2">
        <v>139.54</v>
      </c>
      <c r="N187" s="2">
        <v>-21</v>
      </c>
      <c r="O187" s="4">
        <f t="shared" si="2"/>
        <v>-2930.3399999999997</v>
      </c>
      <c r="R187" s="1" t="s">
        <v>18</v>
      </c>
    </row>
    <row r="188" spans="1:18" x14ac:dyDescent="0.25">
      <c r="A188" s="2" t="s">
        <v>88</v>
      </c>
      <c r="B188" s="2">
        <v>1763</v>
      </c>
      <c r="C188" s="3">
        <v>44128</v>
      </c>
      <c r="D188" s="2" t="str">
        <f>"000156"</f>
        <v>000156</v>
      </c>
      <c r="E188" s="3">
        <v>44088</v>
      </c>
      <c r="F188" s="2">
        <v>0</v>
      </c>
      <c r="G188" s="2">
        <v>0</v>
      </c>
      <c r="H188" s="3">
        <v>44128</v>
      </c>
      <c r="I188" s="3">
        <v>44149</v>
      </c>
      <c r="J188" s="2" t="s">
        <v>17</v>
      </c>
      <c r="K188" s="2">
        <v>329.4</v>
      </c>
      <c r="L188" s="2">
        <v>59.4</v>
      </c>
      <c r="M188" s="2">
        <v>270</v>
      </c>
      <c r="N188" s="2">
        <v>-21</v>
      </c>
      <c r="O188" s="4">
        <f t="shared" si="2"/>
        <v>-5670</v>
      </c>
      <c r="R188" s="1" t="s">
        <v>44</v>
      </c>
    </row>
    <row r="189" spans="1:18" x14ac:dyDescent="0.25">
      <c r="A189" s="2" t="s">
        <v>67</v>
      </c>
      <c r="B189" s="2">
        <v>2003</v>
      </c>
      <c r="C189" s="3">
        <v>44163</v>
      </c>
      <c r="D189" s="2" t="str">
        <f>"005574"</f>
        <v>005574</v>
      </c>
      <c r="E189" s="3">
        <v>44134</v>
      </c>
      <c r="F189" s="2">
        <v>0</v>
      </c>
      <c r="G189" s="2">
        <v>0</v>
      </c>
      <c r="H189" s="3">
        <v>44163</v>
      </c>
      <c r="I189" s="3">
        <v>44185</v>
      </c>
      <c r="J189" s="2" t="s">
        <v>17</v>
      </c>
      <c r="K189" s="4">
        <v>1660.18</v>
      </c>
      <c r="L189" s="2">
        <v>299.38</v>
      </c>
      <c r="M189" s="4">
        <v>1360.8</v>
      </c>
      <c r="N189" s="2">
        <v>-22</v>
      </c>
      <c r="O189" s="4">
        <f t="shared" si="2"/>
        <v>-29937.599999999999</v>
      </c>
      <c r="R189" s="1" t="s">
        <v>89</v>
      </c>
    </row>
    <row r="190" spans="1:18" x14ac:dyDescent="0.25">
      <c r="A190" s="2" t="s">
        <v>58</v>
      </c>
      <c r="B190" s="2">
        <v>1827</v>
      </c>
      <c r="C190" s="3">
        <v>44141</v>
      </c>
      <c r="D190" s="2" t="s">
        <v>90</v>
      </c>
      <c r="E190" s="3">
        <v>44133</v>
      </c>
      <c r="F190" s="2">
        <v>0</v>
      </c>
      <c r="G190" s="2">
        <v>0</v>
      </c>
      <c r="H190" s="3">
        <v>44142</v>
      </c>
      <c r="I190" s="3">
        <v>44164</v>
      </c>
      <c r="J190" s="2" t="s">
        <v>17</v>
      </c>
      <c r="K190" s="4">
        <v>6258.6</v>
      </c>
      <c r="L190" s="4">
        <v>1128.5999999999999</v>
      </c>
      <c r="M190" s="4">
        <v>5130</v>
      </c>
      <c r="N190" s="2">
        <v>-22</v>
      </c>
      <c r="O190" s="4">
        <f t="shared" si="2"/>
        <v>-112860</v>
      </c>
      <c r="R190" s="1" t="s">
        <v>60</v>
      </c>
    </row>
    <row r="191" spans="1:18" x14ac:dyDescent="0.25">
      <c r="A191" s="2" t="s">
        <v>91</v>
      </c>
      <c r="B191" s="2">
        <v>1845</v>
      </c>
      <c r="C191" s="3">
        <v>44147</v>
      </c>
      <c r="D191" s="2" t="s">
        <v>92</v>
      </c>
      <c r="E191" s="3">
        <v>44139</v>
      </c>
      <c r="F191" s="2">
        <v>0</v>
      </c>
      <c r="G191" s="2">
        <v>0</v>
      </c>
      <c r="H191" s="3">
        <v>44149</v>
      </c>
      <c r="I191" s="3">
        <v>44171</v>
      </c>
      <c r="J191" s="2" t="s">
        <v>17</v>
      </c>
      <c r="K191" s="4">
        <v>3202.5</v>
      </c>
      <c r="L191" s="2">
        <v>0</v>
      </c>
      <c r="M191" s="4">
        <v>3202.5</v>
      </c>
      <c r="N191" s="2">
        <v>-22</v>
      </c>
      <c r="O191" s="4">
        <f t="shared" si="2"/>
        <v>-70455</v>
      </c>
      <c r="R191" s="1" t="s">
        <v>18</v>
      </c>
    </row>
    <row r="192" spans="1:18" x14ac:dyDescent="0.25">
      <c r="A192" s="2" t="s">
        <v>93</v>
      </c>
      <c r="B192" s="2">
        <v>2194</v>
      </c>
      <c r="C192" s="3">
        <v>44183</v>
      </c>
      <c r="D192" s="2" t="s">
        <v>94</v>
      </c>
      <c r="E192" s="3">
        <v>44176</v>
      </c>
      <c r="F192" s="2">
        <v>0</v>
      </c>
      <c r="G192" s="2">
        <v>0</v>
      </c>
      <c r="H192" s="3">
        <v>44184</v>
      </c>
      <c r="I192" s="3">
        <v>44206</v>
      </c>
      <c r="J192" s="2" t="s">
        <v>17</v>
      </c>
      <c r="K192" s="4">
        <v>1326</v>
      </c>
      <c r="L192" s="2">
        <v>0</v>
      </c>
      <c r="M192" s="4">
        <v>1326</v>
      </c>
      <c r="N192" s="2">
        <v>-22</v>
      </c>
      <c r="O192" s="4">
        <f t="shared" si="2"/>
        <v>-29172</v>
      </c>
      <c r="R192" s="1" t="s">
        <v>95</v>
      </c>
    </row>
    <row r="193" spans="1:18" x14ac:dyDescent="0.25">
      <c r="A193" s="2" t="s">
        <v>96</v>
      </c>
      <c r="B193" s="2">
        <v>2051</v>
      </c>
      <c r="C193" s="3">
        <v>44176</v>
      </c>
      <c r="D193" s="2" t="str">
        <f>"153"</f>
        <v>153</v>
      </c>
      <c r="E193" s="3">
        <v>44166</v>
      </c>
      <c r="F193" s="2">
        <v>0</v>
      </c>
      <c r="G193" s="2">
        <v>0</v>
      </c>
      <c r="H193" s="3">
        <v>44177</v>
      </c>
      <c r="I193" s="3">
        <v>44200</v>
      </c>
      <c r="J193" s="2" t="s">
        <v>17</v>
      </c>
      <c r="K193" s="4">
        <v>5477.31</v>
      </c>
      <c r="L193" s="2">
        <v>987.71</v>
      </c>
      <c r="M193" s="4">
        <v>4489.6000000000004</v>
      </c>
      <c r="N193" s="2">
        <v>-23</v>
      </c>
      <c r="O193" s="4">
        <f t="shared" si="2"/>
        <v>-103260.8</v>
      </c>
      <c r="R193" s="1" t="s">
        <v>83</v>
      </c>
    </row>
    <row r="194" spans="1:18" x14ac:dyDescent="0.25">
      <c r="A194" s="2" t="s">
        <v>78</v>
      </c>
      <c r="B194" s="2">
        <v>1844</v>
      </c>
      <c r="C194" s="3">
        <v>44147</v>
      </c>
      <c r="D194" s="2" t="s">
        <v>97</v>
      </c>
      <c r="E194" s="3">
        <v>44135</v>
      </c>
      <c r="F194" s="2">
        <v>0</v>
      </c>
      <c r="G194" s="2">
        <v>0</v>
      </c>
      <c r="H194" s="3">
        <v>44149</v>
      </c>
      <c r="I194" s="3">
        <v>44172</v>
      </c>
      <c r="J194" s="2" t="s">
        <v>17</v>
      </c>
      <c r="K194" s="4">
        <v>3693.1</v>
      </c>
      <c r="L194" s="2">
        <v>665.97</v>
      </c>
      <c r="M194" s="4">
        <v>3027.13</v>
      </c>
      <c r="N194" s="2">
        <v>-23</v>
      </c>
      <c r="O194" s="4">
        <f t="shared" si="2"/>
        <v>-69623.990000000005</v>
      </c>
      <c r="R194" s="1" t="s">
        <v>80</v>
      </c>
    </row>
    <row r="195" spans="1:18" x14ac:dyDescent="0.25">
      <c r="A195" s="2" t="s">
        <v>98</v>
      </c>
      <c r="B195" s="2">
        <v>1621</v>
      </c>
      <c r="C195" s="3">
        <v>44113</v>
      </c>
      <c r="D195" s="2" t="s">
        <v>99</v>
      </c>
      <c r="E195" s="3">
        <v>44104</v>
      </c>
      <c r="F195" s="2">
        <v>0</v>
      </c>
      <c r="G195" s="2">
        <v>0</v>
      </c>
      <c r="H195" s="3">
        <v>44114</v>
      </c>
      <c r="I195" s="3">
        <v>44137</v>
      </c>
      <c r="J195" s="2" t="s">
        <v>17</v>
      </c>
      <c r="K195" s="2">
        <v>146.4</v>
      </c>
      <c r="L195" s="2">
        <v>26.4</v>
      </c>
      <c r="M195" s="2">
        <v>120</v>
      </c>
      <c r="N195" s="2">
        <v>-23</v>
      </c>
      <c r="O195" s="4">
        <f t="shared" ref="O195:O258" si="3">+M195*N195</f>
        <v>-2760</v>
      </c>
      <c r="R195" s="1" t="s">
        <v>26</v>
      </c>
    </row>
    <row r="196" spans="1:18" x14ac:dyDescent="0.25">
      <c r="A196" s="2" t="s">
        <v>33</v>
      </c>
      <c r="B196" s="2">
        <v>2060</v>
      </c>
      <c r="C196" s="3">
        <v>44176</v>
      </c>
      <c r="D196" s="2" t="str">
        <f>"00020200036"</f>
        <v>00020200036</v>
      </c>
      <c r="E196" s="3">
        <v>44165</v>
      </c>
      <c r="F196" s="2">
        <v>0</v>
      </c>
      <c r="G196" s="2">
        <v>0</v>
      </c>
      <c r="H196" s="3">
        <v>44177</v>
      </c>
      <c r="I196" s="3">
        <v>44200</v>
      </c>
      <c r="J196" s="2" t="s">
        <v>17</v>
      </c>
      <c r="K196" s="4">
        <v>96387.78</v>
      </c>
      <c r="L196" s="4">
        <v>8762.5300000000007</v>
      </c>
      <c r="M196" s="4">
        <v>87625.25</v>
      </c>
      <c r="N196" s="2">
        <v>-23</v>
      </c>
      <c r="O196" s="4">
        <f t="shared" si="3"/>
        <v>-2015380.75</v>
      </c>
      <c r="R196" s="1" t="s">
        <v>24</v>
      </c>
    </row>
    <row r="197" spans="1:18" x14ac:dyDescent="0.25">
      <c r="A197" s="2" t="s">
        <v>100</v>
      </c>
      <c r="B197" s="2">
        <v>2071</v>
      </c>
      <c r="C197" s="3">
        <v>44176</v>
      </c>
      <c r="D197" s="2" t="s">
        <v>101</v>
      </c>
      <c r="E197" s="3">
        <v>44169</v>
      </c>
      <c r="F197" s="2">
        <v>0</v>
      </c>
      <c r="G197" s="2">
        <v>0</v>
      </c>
      <c r="H197" s="3">
        <v>44177</v>
      </c>
      <c r="I197" s="3">
        <v>44200</v>
      </c>
      <c r="J197" s="2" t="s">
        <v>17</v>
      </c>
      <c r="K197" s="4">
        <v>2167</v>
      </c>
      <c r="L197" s="2">
        <v>197</v>
      </c>
      <c r="M197" s="4">
        <v>1970</v>
      </c>
      <c r="N197" s="2">
        <v>-23</v>
      </c>
      <c r="O197" s="4">
        <f t="shared" si="3"/>
        <v>-45310</v>
      </c>
      <c r="R197" s="1" t="s">
        <v>44</v>
      </c>
    </row>
    <row r="198" spans="1:18" x14ac:dyDescent="0.25">
      <c r="A198" s="2" t="s">
        <v>100</v>
      </c>
      <c r="B198" s="2">
        <v>2070</v>
      </c>
      <c r="C198" s="3">
        <v>44176</v>
      </c>
      <c r="D198" s="2" t="s">
        <v>102</v>
      </c>
      <c r="E198" s="3">
        <v>44165</v>
      </c>
      <c r="F198" s="2">
        <v>0</v>
      </c>
      <c r="G198" s="2">
        <v>0</v>
      </c>
      <c r="H198" s="3">
        <v>44177</v>
      </c>
      <c r="I198" s="3">
        <v>44200</v>
      </c>
      <c r="J198" s="2" t="s">
        <v>17</v>
      </c>
      <c r="K198" s="4">
        <v>1903</v>
      </c>
      <c r="L198" s="2">
        <v>173</v>
      </c>
      <c r="M198" s="4">
        <v>1730</v>
      </c>
      <c r="N198" s="2">
        <v>-23</v>
      </c>
      <c r="O198" s="4">
        <f t="shared" si="3"/>
        <v>-39790</v>
      </c>
      <c r="R198" s="1" t="s">
        <v>44</v>
      </c>
    </row>
    <row r="199" spans="1:18" x14ac:dyDescent="0.25">
      <c r="A199" s="2" t="s">
        <v>100</v>
      </c>
      <c r="B199" s="2">
        <v>2072</v>
      </c>
      <c r="C199" s="3">
        <v>44176</v>
      </c>
      <c r="D199" s="2" t="s">
        <v>103</v>
      </c>
      <c r="E199" s="3">
        <v>44169</v>
      </c>
      <c r="F199" s="2">
        <v>0</v>
      </c>
      <c r="G199" s="2">
        <v>0</v>
      </c>
      <c r="H199" s="3">
        <v>44177</v>
      </c>
      <c r="I199" s="3">
        <v>44200</v>
      </c>
      <c r="J199" s="2" t="s">
        <v>17</v>
      </c>
      <c r="K199" s="2">
        <v>407</v>
      </c>
      <c r="L199" s="2">
        <v>37</v>
      </c>
      <c r="M199" s="2">
        <v>370</v>
      </c>
      <c r="N199" s="2">
        <v>-23</v>
      </c>
      <c r="O199" s="4">
        <f t="shared" si="3"/>
        <v>-8510</v>
      </c>
      <c r="R199" s="1" t="s">
        <v>44</v>
      </c>
    </row>
    <row r="200" spans="1:18" x14ac:dyDescent="0.25">
      <c r="A200" s="2" t="s">
        <v>104</v>
      </c>
      <c r="B200" s="2">
        <v>1677</v>
      </c>
      <c r="C200" s="3">
        <v>44121</v>
      </c>
      <c r="D200" s="2" t="s">
        <v>105</v>
      </c>
      <c r="E200" s="3">
        <v>44104</v>
      </c>
      <c r="F200" s="2">
        <v>0</v>
      </c>
      <c r="G200" s="2">
        <v>0</v>
      </c>
      <c r="H200" s="3">
        <v>44121</v>
      </c>
      <c r="I200" s="3">
        <v>44144</v>
      </c>
      <c r="J200" s="2" t="s">
        <v>17</v>
      </c>
      <c r="K200" s="4">
        <v>1127</v>
      </c>
      <c r="L200" s="2">
        <v>0</v>
      </c>
      <c r="M200" s="4">
        <v>1127</v>
      </c>
      <c r="N200" s="2">
        <v>-23</v>
      </c>
      <c r="O200" s="4">
        <f t="shared" si="3"/>
        <v>-25921</v>
      </c>
      <c r="R200" s="1" t="s">
        <v>68</v>
      </c>
    </row>
    <row r="201" spans="1:18" x14ac:dyDescent="0.25">
      <c r="A201" s="2" t="s">
        <v>104</v>
      </c>
      <c r="B201" s="2">
        <v>1678</v>
      </c>
      <c r="C201" s="3">
        <v>44121</v>
      </c>
      <c r="D201" s="2" t="s">
        <v>106</v>
      </c>
      <c r="E201" s="3">
        <v>44104</v>
      </c>
      <c r="F201" s="2">
        <v>0</v>
      </c>
      <c r="G201" s="2">
        <v>0</v>
      </c>
      <c r="H201" s="3">
        <v>44121</v>
      </c>
      <c r="I201" s="3">
        <v>44144</v>
      </c>
      <c r="J201" s="2" t="s">
        <v>17</v>
      </c>
      <c r="K201" s="4">
        <v>1520</v>
      </c>
      <c r="L201" s="2">
        <v>0</v>
      </c>
      <c r="M201" s="4">
        <v>1520</v>
      </c>
      <c r="N201" s="2">
        <v>-23</v>
      </c>
      <c r="O201" s="4">
        <f t="shared" si="3"/>
        <v>-34960</v>
      </c>
      <c r="R201" s="1" t="s">
        <v>68</v>
      </c>
    </row>
    <row r="202" spans="1:18" x14ac:dyDescent="0.25">
      <c r="A202" s="2" t="s">
        <v>62</v>
      </c>
      <c r="B202" s="2">
        <v>2030</v>
      </c>
      <c r="C202" s="3">
        <v>44169</v>
      </c>
      <c r="D202" s="2" t="str">
        <f>"42004708173"</f>
        <v>42004708173</v>
      </c>
      <c r="E202" s="3">
        <v>44158</v>
      </c>
      <c r="F202" s="2">
        <v>0</v>
      </c>
      <c r="G202" s="2">
        <v>0</v>
      </c>
      <c r="H202" s="3">
        <v>44170</v>
      </c>
      <c r="I202" s="3">
        <v>44193</v>
      </c>
      <c r="J202" s="2" t="s">
        <v>17</v>
      </c>
      <c r="K202" s="2">
        <v>231.48</v>
      </c>
      <c r="L202" s="2">
        <v>40.42</v>
      </c>
      <c r="M202" s="2">
        <v>191.06</v>
      </c>
      <c r="N202" s="2">
        <v>-23</v>
      </c>
      <c r="O202" s="4">
        <f t="shared" si="3"/>
        <v>-4394.38</v>
      </c>
      <c r="R202" s="1" t="s">
        <v>63</v>
      </c>
    </row>
    <row r="203" spans="1:18" x14ac:dyDescent="0.25">
      <c r="A203" s="2" t="s">
        <v>25</v>
      </c>
      <c r="B203" s="2">
        <v>2191</v>
      </c>
      <c r="C203" s="3">
        <v>44183</v>
      </c>
      <c r="D203" s="2" t="str">
        <f>"004079050951"</f>
        <v>004079050951</v>
      </c>
      <c r="E203" s="3">
        <v>44170</v>
      </c>
      <c r="F203" s="2">
        <v>0</v>
      </c>
      <c r="G203" s="2">
        <v>0</v>
      </c>
      <c r="H203" s="3">
        <v>44184</v>
      </c>
      <c r="I203" s="3">
        <v>44207</v>
      </c>
      <c r="J203" s="2" t="s">
        <v>17</v>
      </c>
      <c r="K203" s="2">
        <v>14.52</v>
      </c>
      <c r="L203" s="2">
        <v>2.62</v>
      </c>
      <c r="M203" s="2">
        <v>11.9</v>
      </c>
      <c r="N203" s="2">
        <v>-23</v>
      </c>
      <c r="O203" s="4">
        <f t="shared" si="3"/>
        <v>-273.7</v>
      </c>
      <c r="R203" s="1" t="s">
        <v>26</v>
      </c>
    </row>
    <row r="204" spans="1:18" x14ac:dyDescent="0.25">
      <c r="A204" s="2" t="s">
        <v>25</v>
      </c>
      <c r="B204" s="2">
        <v>2185</v>
      </c>
      <c r="C204" s="3">
        <v>44183</v>
      </c>
      <c r="D204" s="2" t="str">
        <f>"004079050976"</f>
        <v>004079050976</v>
      </c>
      <c r="E204" s="3">
        <v>44170</v>
      </c>
      <c r="F204" s="2">
        <v>0</v>
      </c>
      <c r="G204" s="2">
        <v>0</v>
      </c>
      <c r="H204" s="3">
        <v>44184</v>
      </c>
      <c r="I204" s="3">
        <v>44207</v>
      </c>
      <c r="J204" s="2" t="s">
        <v>17</v>
      </c>
      <c r="K204" s="2">
        <v>145.61000000000001</v>
      </c>
      <c r="L204" s="2">
        <v>26.26</v>
      </c>
      <c r="M204" s="2">
        <v>119.35</v>
      </c>
      <c r="N204" s="2">
        <v>-23</v>
      </c>
      <c r="O204" s="4">
        <f t="shared" si="3"/>
        <v>-2745.0499999999997</v>
      </c>
      <c r="R204" s="1" t="s">
        <v>26</v>
      </c>
    </row>
    <row r="205" spans="1:18" x14ac:dyDescent="0.25">
      <c r="A205" s="2" t="s">
        <v>25</v>
      </c>
      <c r="B205" s="2">
        <v>2190</v>
      </c>
      <c r="C205" s="3">
        <v>44183</v>
      </c>
      <c r="D205" s="2" t="str">
        <f>"004079050961"</f>
        <v>004079050961</v>
      </c>
      <c r="E205" s="3">
        <v>44170</v>
      </c>
      <c r="F205" s="2">
        <v>0</v>
      </c>
      <c r="G205" s="2">
        <v>0</v>
      </c>
      <c r="H205" s="3">
        <v>44184</v>
      </c>
      <c r="I205" s="3">
        <v>44207</v>
      </c>
      <c r="J205" s="2" t="s">
        <v>17</v>
      </c>
      <c r="K205" s="2">
        <v>67.81</v>
      </c>
      <c r="L205" s="2">
        <v>12.23</v>
      </c>
      <c r="M205" s="2">
        <v>55.58</v>
      </c>
      <c r="N205" s="2">
        <v>-23</v>
      </c>
      <c r="O205" s="4">
        <f t="shared" si="3"/>
        <v>-1278.3399999999999</v>
      </c>
      <c r="R205" s="1" t="s">
        <v>26</v>
      </c>
    </row>
    <row r="206" spans="1:18" x14ac:dyDescent="0.25">
      <c r="A206" s="2" t="s">
        <v>25</v>
      </c>
      <c r="B206" s="2">
        <v>2191</v>
      </c>
      <c r="C206" s="3">
        <v>44183</v>
      </c>
      <c r="D206" s="2" t="str">
        <f>"004079050956"</f>
        <v>004079050956</v>
      </c>
      <c r="E206" s="3">
        <v>44170</v>
      </c>
      <c r="F206" s="2">
        <v>0</v>
      </c>
      <c r="G206" s="2">
        <v>0</v>
      </c>
      <c r="H206" s="3">
        <v>44184</v>
      </c>
      <c r="I206" s="3">
        <v>44207</v>
      </c>
      <c r="J206" s="2" t="s">
        <v>17</v>
      </c>
      <c r="K206" s="2">
        <v>93.59</v>
      </c>
      <c r="L206" s="2">
        <v>16.88</v>
      </c>
      <c r="M206" s="2">
        <v>76.709999999999994</v>
      </c>
      <c r="N206" s="2">
        <v>-23</v>
      </c>
      <c r="O206" s="4">
        <f t="shared" si="3"/>
        <v>-1764.33</v>
      </c>
      <c r="R206" s="1" t="s">
        <v>26</v>
      </c>
    </row>
    <row r="207" spans="1:18" x14ac:dyDescent="0.25">
      <c r="A207" s="2" t="s">
        <v>25</v>
      </c>
      <c r="B207" s="2">
        <v>2192</v>
      </c>
      <c r="C207" s="3">
        <v>44183</v>
      </c>
      <c r="D207" s="2" t="str">
        <f>"004079050967"</f>
        <v>004079050967</v>
      </c>
      <c r="E207" s="3">
        <v>44170</v>
      </c>
      <c r="F207" s="2">
        <v>0</v>
      </c>
      <c r="G207" s="2">
        <v>0</v>
      </c>
      <c r="H207" s="3">
        <v>44184</v>
      </c>
      <c r="I207" s="3">
        <v>44207</v>
      </c>
      <c r="J207" s="2" t="s">
        <v>17</v>
      </c>
      <c r="K207" s="2">
        <v>11.14</v>
      </c>
      <c r="L207" s="2">
        <v>2.0099999999999998</v>
      </c>
      <c r="M207" s="2">
        <v>9.1300000000000008</v>
      </c>
      <c r="N207" s="2">
        <v>-23</v>
      </c>
      <c r="O207" s="4">
        <f t="shared" si="3"/>
        <v>-209.99</v>
      </c>
      <c r="R207" s="1" t="s">
        <v>26</v>
      </c>
    </row>
    <row r="208" spans="1:18" x14ac:dyDescent="0.25">
      <c r="A208" s="2" t="s">
        <v>25</v>
      </c>
      <c r="B208" s="2">
        <v>1635</v>
      </c>
      <c r="C208" s="3">
        <v>44113</v>
      </c>
      <c r="D208" s="2" t="str">
        <f>"004064751853"</f>
        <v>004064751853</v>
      </c>
      <c r="E208" s="3">
        <v>44100</v>
      </c>
      <c r="F208" s="2">
        <v>0</v>
      </c>
      <c r="G208" s="2">
        <v>0</v>
      </c>
      <c r="H208" s="3">
        <v>44114</v>
      </c>
      <c r="I208" s="3">
        <v>44137</v>
      </c>
      <c r="J208" s="2" t="s">
        <v>17</v>
      </c>
      <c r="K208" s="2">
        <v>349.58</v>
      </c>
      <c r="L208" s="2">
        <v>63.04</v>
      </c>
      <c r="M208" s="2">
        <v>286.54000000000002</v>
      </c>
      <c r="N208" s="2">
        <v>-23</v>
      </c>
      <c r="O208" s="4">
        <f t="shared" si="3"/>
        <v>-6590.42</v>
      </c>
      <c r="R208" s="1" t="s">
        <v>26</v>
      </c>
    </row>
    <row r="209" spans="1:18" x14ac:dyDescent="0.25">
      <c r="A209" s="2" t="s">
        <v>25</v>
      </c>
      <c r="B209" s="2">
        <v>2192</v>
      </c>
      <c r="C209" s="3">
        <v>44183</v>
      </c>
      <c r="D209" s="2" t="str">
        <f>"004079050969"</f>
        <v>004079050969</v>
      </c>
      <c r="E209" s="3">
        <v>44170</v>
      </c>
      <c r="F209" s="2">
        <v>0</v>
      </c>
      <c r="G209" s="2">
        <v>0</v>
      </c>
      <c r="H209" s="3">
        <v>44184</v>
      </c>
      <c r="I209" s="3">
        <v>44207</v>
      </c>
      <c r="J209" s="2" t="s">
        <v>17</v>
      </c>
      <c r="K209" s="2">
        <v>178.72</v>
      </c>
      <c r="L209" s="2">
        <v>32.229999999999997</v>
      </c>
      <c r="M209" s="2">
        <v>146.49</v>
      </c>
      <c r="N209" s="2">
        <v>-23</v>
      </c>
      <c r="O209" s="4">
        <f t="shared" si="3"/>
        <v>-3369.2700000000004</v>
      </c>
      <c r="R209" s="1" t="s">
        <v>26</v>
      </c>
    </row>
    <row r="210" spans="1:18" x14ac:dyDescent="0.25">
      <c r="A210" s="2" t="s">
        <v>25</v>
      </c>
      <c r="B210" s="2">
        <v>1630</v>
      </c>
      <c r="C210" s="3">
        <v>44113</v>
      </c>
      <c r="D210" s="2" t="str">
        <f>"004064751852"</f>
        <v>004064751852</v>
      </c>
      <c r="E210" s="3">
        <v>44100</v>
      </c>
      <c r="F210" s="2">
        <v>0</v>
      </c>
      <c r="G210" s="2">
        <v>0</v>
      </c>
      <c r="H210" s="3">
        <v>44114</v>
      </c>
      <c r="I210" s="3">
        <v>44137</v>
      </c>
      <c r="J210" s="2" t="s">
        <v>17</v>
      </c>
      <c r="K210" s="2">
        <v>52.63</v>
      </c>
      <c r="L210" s="2">
        <v>9.49</v>
      </c>
      <c r="M210" s="2">
        <v>43.14</v>
      </c>
      <c r="N210" s="2">
        <v>-23</v>
      </c>
      <c r="O210" s="4">
        <f t="shared" si="3"/>
        <v>-992.22</v>
      </c>
      <c r="R210" s="1" t="s">
        <v>26</v>
      </c>
    </row>
    <row r="211" spans="1:18" x14ac:dyDescent="0.25">
      <c r="A211" s="2" t="s">
        <v>25</v>
      </c>
      <c r="B211" s="2">
        <v>2193</v>
      </c>
      <c r="C211" s="3">
        <v>44183</v>
      </c>
      <c r="D211" s="2" t="str">
        <f>"004079050971"</f>
        <v>004079050971</v>
      </c>
      <c r="E211" s="3">
        <v>44170</v>
      </c>
      <c r="F211" s="2">
        <v>0</v>
      </c>
      <c r="G211" s="2">
        <v>0</v>
      </c>
      <c r="H211" s="3">
        <v>44184</v>
      </c>
      <c r="I211" s="3">
        <v>44207</v>
      </c>
      <c r="J211" s="2" t="s">
        <v>17</v>
      </c>
      <c r="K211" s="2">
        <v>39.61</v>
      </c>
      <c r="L211" s="2">
        <v>7.14</v>
      </c>
      <c r="M211" s="2">
        <v>32.47</v>
      </c>
      <c r="N211" s="2">
        <v>-23</v>
      </c>
      <c r="O211" s="4">
        <f t="shared" si="3"/>
        <v>-746.81</v>
      </c>
      <c r="R211" s="1" t="s">
        <v>26</v>
      </c>
    </row>
    <row r="212" spans="1:18" x14ac:dyDescent="0.25">
      <c r="A212" s="2" t="s">
        <v>25</v>
      </c>
      <c r="B212" s="2">
        <v>2193</v>
      </c>
      <c r="C212" s="3">
        <v>44183</v>
      </c>
      <c r="D212" s="2" t="str">
        <f>"004079050978"</f>
        <v>004079050978</v>
      </c>
      <c r="E212" s="3">
        <v>44170</v>
      </c>
      <c r="F212" s="2">
        <v>0</v>
      </c>
      <c r="G212" s="2">
        <v>0</v>
      </c>
      <c r="H212" s="3">
        <v>44184</v>
      </c>
      <c r="I212" s="3">
        <v>44207</v>
      </c>
      <c r="J212" s="2" t="s">
        <v>17</v>
      </c>
      <c r="K212" s="2">
        <v>70.86</v>
      </c>
      <c r="L212" s="2">
        <v>12.78</v>
      </c>
      <c r="M212" s="2">
        <v>58.08</v>
      </c>
      <c r="N212" s="2">
        <v>-23</v>
      </c>
      <c r="O212" s="4">
        <f t="shared" si="3"/>
        <v>-1335.84</v>
      </c>
      <c r="R212" s="1" t="s">
        <v>26</v>
      </c>
    </row>
    <row r="213" spans="1:18" x14ac:dyDescent="0.25">
      <c r="A213" s="2" t="s">
        <v>25</v>
      </c>
      <c r="B213" s="2">
        <v>2190</v>
      </c>
      <c r="C213" s="3">
        <v>44183</v>
      </c>
      <c r="D213" s="2" t="str">
        <f>"004079050959"</f>
        <v>004079050959</v>
      </c>
      <c r="E213" s="3">
        <v>44170</v>
      </c>
      <c r="F213" s="2">
        <v>0</v>
      </c>
      <c r="G213" s="2">
        <v>0</v>
      </c>
      <c r="H213" s="3">
        <v>44184</v>
      </c>
      <c r="I213" s="3">
        <v>44207</v>
      </c>
      <c r="J213" s="2" t="s">
        <v>17</v>
      </c>
      <c r="K213" s="2">
        <v>279.69</v>
      </c>
      <c r="L213" s="2">
        <v>50.44</v>
      </c>
      <c r="M213" s="2">
        <v>229.25</v>
      </c>
      <c r="N213" s="2">
        <v>-23</v>
      </c>
      <c r="O213" s="4">
        <f t="shared" si="3"/>
        <v>-5272.75</v>
      </c>
      <c r="R213" s="1" t="s">
        <v>26</v>
      </c>
    </row>
    <row r="214" spans="1:18" x14ac:dyDescent="0.25">
      <c r="A214" s="2" t="s">
        <v>25</v>
      </c>
      <c r="B214" s="2">
        <v>2193</v>
      </c>
      <c r="C214" s="3">
        <v>44183</v>
      </c>
      <c r="D214" s="2" t="str">
        <f>"004079050972"</f>
        <v>004079050972</v>
      </c>
      <c r="E214" s="3">
        <v>44170</v>
      </c>
      <c r="F214" s="2">
        <v>0</v>
      </c>
      <c r="G214" s="2">
        <v>0</v>
      </c>
      <c r="H214" s="3">
        <v>44184</v>
      </c>
      <c r="I214" s="3">
        <v>44207</v>
      </c>
      <c r="J214" s="2" t="s">
        <v>17</v>
      </c>
      <c r="K214" s="2">
        <v>106.87</v>
      </c>
      <c r="L214" s="2">
        <v>19.27</v>
      </c>
      <c r="M214" s="2">
        <v>87.6</v>
      </c>
      <c r="N214" s="2">
        <v>-23</v>
      </c>
      <c r="O214" s="4">
        <f t="shared" si="3"/>
        <v>-2014.8</v>
      </c>
      <c r="R214" s="1" t="s">
        <v>26</v>
      </c>
    </row>
    <row r="215" spans="1:18" x14ac:dyDescent="0.25">
      <c r="A215" s="2" t="s">
        <v>25</v>
      </c>
      <c r="B215" s="2">
        <v>2176</v>
      </c>
      <c r="C215" s="3">
        <v>44183</v>
      </c>
      <c r="D215" s="2" t="str">
        <f>"004079050979"</f>
        <v>004079050979</v>
      </c>
      <c r="E215" s="3">
        <v>44170</v>
      </c>
      <c r="F215" s="2">
        <v>0</v>
      </c>
      <c r="G215" s="2">
        <v>0</v>
      </c>
      <c r="H215" s="3">
        <v>44184</v>
      </c>
      <c r="I215" s="3">
        <v>44207</v>
      </c>
      <c r="J215" s="2" t="s">
        <v>17</v>
      </c>
      <c r="K215" s="2">
        <v>63.9</v>
      </c>
      <c r="L215" s="2">
        <v>11.52</v>
      </c>
      <c r="M215" s="2">
        <v>52.38</v>
      </c>
      <c r="N215" s="2">
        <v>-23</v>
      </c>
      <c r="O215" s="4">
        <f t="shared" si="3"/>
        <v>-1204.74</v>
      </c>
      <c r="R215" s="1" t="s">
        <v>26</v>
      </c>
    </row>
    <row r="216" spans="1:18" x14ac:dyDescent="0.25">
      <c r="A216" s="2" t="s">
        <v>25</v>
      </c>
      <c r="B216" s="2">
        <v>2193</v>
      </c>
      <c r="C216" s="3">
        <v>44183</v>
      </c>
      <c r="D216" s="2" t="str">
        <f>"004079050974"</f>
        <v>004079050974</v>
      </c>
      <c r="E216" s="3">
        <v>44170</v>
      </c>
      <c r="F216" s="2">
        <v>0</v>
      </c>
      <c r="G216" s="2">
        <v>0</v>
      </c>
      <c r="H216" s="3">
        <v>44184</v>
      </c>
      <c r="I216" s="3">
        <v>44207</v>
      </c>
      <c r="J216" s="2" t="s">
        <v>17</v>
      </c>
      <c r="K216" s="2">
        <v>164.77</v>
      </c>
      <c r="L216" s="2">
        <v>29.71</v>
      </c>
      <c r="M216" s="2">
        <v>135.06</v>
      </c>
      <c r="N216" s="2">
        <v>-23</v>
      </c>
      <c r="O216" s="4">
        <f t="shared" si="3"/>
        <v>-3106.38</v>
      </c>
      <c r="R216" s="1" t="s">
        <v>26</v>
      </c>
    </row>
    <row r="217" spans="1:18" x14ac:dyDescent="0.25">
      <c r="A217" s="2" t="s">
        <v>25</v>
      </c>
      <c r="B217" s="2">
        <v>2191</v>
      </c>
      <c r="C217" s="3">
        <v>44183</v>
      </c>
      <c r="D217" s="2" t="str">
        <f>"004079050955"</f>
        <v>004079050955</v>
      </c>
      <c r="E217" s="3">
        <v>44170</v>
      </c>
      <c r="F217" s="2">
        <v>0</v>
      </c>
      <c r="G217" s="2">
        <v>0</v>
      </c>
      <c r="H217" s="3">
        <v>44184</v>
      </c>
      <c r="I217" s="3">
        <v>44207</v>
      </c>
      <c r="J217" s="2" t="s">
        <v>17</v>
      </c>
      <c r="K217" s="2">
        <v>17.100000000000001</v>
      </c>
      <c r="L217" s="2">
        <v>3.08</v>
      </c>
      <c r="M217" s="2">
        <v>14.02</v>
      </c>
      <c r="N217" s="2">
        <v>-23</v>
      </c>
      <c r="O217" s="4">
        <f t="shared" si="3"/>
        <v>-322.45999999999998</v>
      </c>
      <c r="R217" s="1" t="s">
        <v>26</v>
      </c>
    </row>
    <row r="218" spans="1:18" x14ac:dyDescent="0.25">
      <c r="A218" s="2" t="s">
        <v>25</v>
      </c>
      <c r="B218" s="2">
        <v>2192</v>
      </c>
      <c r="C218" s="3">
        <v>44183</v>
      </c>
      <c r="D218" s="2" t="str">
        <f>"004079050966"</f>
        <v>004079050966</v>
      </c>
      <c r="E218" s="3">
        <v>44170</v>
      </c>
      <c r="F218" s="2">
        <v>0</v>
      </c>
      <c r="G218" s="2">
        <v>0</v>
      </c>
      <c r="H218" s="3">
        <v>44184</v>
      </c>
      <c r="I218" s="3">
        <v>44207</v>
      </c>
      <c r="J218" s="2" t="s">
        <v>17</v>
      </c>
      <c r="K218" s="2">
        <v>15.9</v>
      </c>
      <c r="L218" s="2">
        <v>2.87</v>
      </c>
      <c r="M218" s="2">
        <v>13.03</v>
      </c>
      <c r="N218" s="2">
        <v>-23</v>
      </c>
      <c r="O218" s="4">
        <f t="shared" si="3"/>
        <v>-299.69</v>
      </c>
      <c r="R218" s="1" t="s">
        <v>26</v>
      </c>
    </row>
    <row r="219" spans="1:18" x14ac:dyDescent="0.25">
      <c r="A219" s="2" t="s">
        <v>25</v>
      </c>
      <c r="B219" s="2">
        <v>2191</v>
      </c>
      <c r="C219" s="3">
        <v>44183</v>
      </c>
      <c r="D219" s="2" t="str">
        <f>"004079050952"</f>
        <v>004079050952</v>
      </c>
      <c r="E219" s="3">
        <v>44170</v>
      </c>
      <c r="F219" s="2">
        <v>0</v>
      </c>
      <c r="G219" s="2">
        <v>0</v>
      </c>
      <c r="H219" s="3">
        <v>44184</v>
      </c>
      <c r="I219" s="3">
        <v>44207</v>
      </c>
      <c r="J219" s="2" t="s">
        <v>17</v>
      </c>
      <c r="K219" s="2">
        <v>44.46</v>
      </c>
      <c r="L219" s="2">
        <v>8.02</v>
      </c>
      <c r="M219" s="2">
        <v>36.44</v>
      </c>
      <c r="N219" s="2">
        <v>-23</v>
      </c>
      <c r="O219" s="4">
        <f t="shared" si="3"/>
        <v>-838.11999999999989</v>
      </c>
      <c r="R219" s="1" t="s">
        <v>26</v>
      </c>
    </row>
    <row r="220" spans="1:18" x14ac:dyDescent="0.25">
      <c r="A220" s="2" t="s">
        <v>25</v>
      </c>
      <c r="B220" s="2">
        <v>2193</v>
      </c>
      <c r="C220" s="3">
        <v>44183</v>
      </c>
      <c r="D220" s="2" t="str">
        <f>"004079050977"</f>
        <v>004079050977</v>
      </c>
      <c r="E220" s="3">
        <v>44170</v>
      </c>
      <c r="F220" s="2">
        <v>0</v>
      </c>
      <c r="G220" s="2">
        <v>0</v>
      </c>
      <c r="H220" s="3">
        <v>44184</v>
      </c>
      <c r="I220" s="3">
        <v>44207</v>
      </c>
      <c r="J220" s="2" t="s">
        <v>17</v>
      </c>
      <c r="K220" s="2">
        <v>33.29</v>
      </c>
      <c r="L220" s="2">
        <v>6</v>
      </c>
      <c r="M220" s="2">
        <v>27.29</v>
      </c>
      <c r="N220" s="2">
        <v>-23</v>
      </c>
      <c r="O220" s="4">
        <f t="shared" si="3"/>
        <v>-627.66999999999996</v>
      </c>
      <c r="R220" s="1" t="s">
        <v>26</v>
      </c>
    </row>
    <row r="221" spans="1:18" x14ac:dyDescent="0.25">
      <c r="A221" s="2" t="s">
        <v>25</v>
      </c>
      <c r="B221" s="2">
        <v>2189</v>
      </c>
      <c r="C221" s="3">
        <v>44183</v>
      </c>
      <c r="D221" s="2" t="str">
        <f>"004079050962"</f>
        <v>004079050962</v>
      </c>
      <c r="E221" s="3">
        <v>44170</v>
      </c>
      <c r="F221" s="2">
        <v>0</v>
      </c>
      <c r="G221" s="2">
        <v>0</v>
      </c>
      <c r="H221" s="3">
        <v>44184</v>
      </c>
      <c r="I221" s="3">
        <v>44207</v>
      </c>
      <c r="J221" s="2" t="s">
        <v>17</v>
      </c>
      <c r="K221" s="2">
        <v>87.43</v>
      </c>
      <c r="L221" s="2">
        <v>15.77</v>
      </c>
      <c r="M221" s="2">
        <v>71.66</v>
      </c>
      <c r="N221" s="2">
        <v>-23</v>
      </c>
      <c r="O221" s="4">
        <f t="shared" si="3"/>
        <v>-1648.1799999999998</v>
      </c>
      <c r="R221" s="1" t="s">
        <v>26</v>
      </c>
    </row>
    <row r="222" spans="1:18" x14ac:dyDescent="0.25">
      <c r="A222" s="2" t="s">
        <v>25</v>
      </c>
      <c r="B222" s="2">
        <v>2192</v>
      </c>
      <c r="C222" s="3">
        <v>44183</v>
      </c>
      <c r="D222" s="2" t="str">
        <f>"004079050970"</f>
        <v>004079050970</v>
      </c>
      <c r="E222" s="3">
        <v>44170</v>
      </c>
      <c r="F222" s="2">
        <v>0</v>
      </c>
      <c r="G222" s="2">
        <v>0</v>
      </c>
      <c r="H222" s="3">
        <v>44184</v>
      </c>
      <c r="I222" s="3">
        <v>44207</v>
      </c>
      <c r="J222" s="2" t="s">
        <v>17</v>
      </c>
      <c r="K222" s="2">
        <v>49.47</v>
      </c>
      <c r="L222" s="2">
        <v>8.92</v>
      </c>
      <c r="M222" s="2">
        <v>40.549999999999997</v>
      </c>
      <c r="N222" s="2">
        <v>-23</v>
      </c>
      <c r="O222" s="4">
        <f t="shared" si="3"/>
        <v>-932.65</v>
      </c>
      <c r="R222" s="1" t="s">
        <v>26</v>
      </c>
    </row>
    <row r="223" spans="1:18" x14ac:dyDescent="0.25">
      <c r="A223" s="2" t="s">
        <v>25</v>
      </c>
      <c r="B223" s="2">
        <v>1885</v>
      </c>
      <c r="C223" s="3">
        <v>44155</v>
      </c>
      <c r="D223" s="2" t="str">
        <f>"004073229694"</f>
        <v>004073229694</v>
      </c>
      <c r="E223" s="3">
        <v>44143</v>
      </c>
      <c r="F223" s="2">
        <v>0</v>
      </c>
      <c r="G223" s="2">
        <v>0</v>
      </c>
      <c r="H223" s="3">
        <v>44156</v>
      </c>
      <c r="I223" s="3">
        <v>44179</v>
      </c>
      <c r="J223" s="2" t="s">
        <v>17</v>
      </c>
      <c r="K223" s="2">
        <v>74.19</v>
      </c>
      <c r="L223" s="2">
        <v>13.38</v>
      </c>
      <c r="M223" s="2">
        <v>60.81</v>
      </c>
      <c r="N223" s="2">
        <v>-23</v>
      </c>
      <c r="O223" s="4">
        <f t="shared" si="3"/>
        <v>-1398.63</v>
      </c>
      <c r="R223" s="1" t="s">
        <v>26</v>
      </c>
    </row>
    <row r="224" spans="1:18" x14ac:dyDescent="0.25">
      <c r="A224" s="2" t="s">
        <v>25</v>
      </c>
      <c r="B224" s="2">
        <v>2191</v>
      </c>
      <c r="C224" s="3">
        <v>44183</v>
      </c>
      <c r="D224" s="2" t="str">
        <f>"004079050958"</f>
        <v>004079050958</v>
      </c>
      <c r="E224" s="3">
        <v>44170</v>
      </c>
      <c r="F224" s="2">
        <v>0</v>
      </c>
      <c r="G224" s="2">
        <v>0</v>
      </c>
      <c r="H224" s="3">
        <v>44184</v>
      </c>
      <c r="I224" s="3">
        <v>44207</v>
      </c>
      <c r="J224" s="2" t="s">
        <v>17</v>
      </c>
      <c r="K224" s="2">
        <v>27.74</v>
      </c>
      <c r="L224" s="2">
        <v>5</v>
      </c>
      <c r="M224" s="2">
        <v>22.74</v>
      </c>
      <c r="N224" s="2">
        <v>-23</v>
      </c>
      <c r="O224" s="4">
        <f t="shared" si="3"/>
        <v>-523.02</v>
      </c>
      <c r="R224" s="1" t="s">
        <v>26</v>
      </c>
    </row>
    <row r="225" spans="1:18" x14ac:dyDescent="0.25">
      <c r="A225" s="2" t="s">
        <v>25</v>
      </c>
      <c r="B225" s="2">
        <v>2192</v>
      </c>
      <c r="C225" s="3">
        <v>44183</v>
      </c>
      <c r="D225" s="2" t="str">
        <f>"004079050965"</f>
        <v>004079050965</v>
      </c>
      <c r="E225" s="3">
        <v>44170</v>
      </c>
      <c r="F225" s="2">
        <v>0</v>
      </c>
      <c r="G225" s="2">
        <v>0</v>
      </c>
      <c r="H225" s="3">
        <v>44184</v>
      </c>
      <c r="I225" s="3">
        <v>44207</v>
      </c>
      <c r="J225" s="2" t="s">
        <v>17</v>
      </c>
      <c r="K225" s="2">
        <v>87.35</v>
      </c>
      <c r="L225" s="2">
        <v>15.75</v>
      </c>
      <c r="M225" s="2">
        <v>71.599999999999994</v>
      </c>
      <c r="N225" s="2">
        <v>-23</v>
      </c>
      <c r="O225" s="4">
        <f t="shared" si="3"/>
        <v>-1646.8</v>
      </c>
      <c r="R225" s="1" t="s">
        <v>26</v>
      </c>
    </row>
    <row r="226" spans="1:18" x14ac:dyDescent="0.25">
      <c r="A226" s="2" t="s">
        <v>25</v>
      </c>
      <c r="B226" s="2">
        <v>2193</v>
      </c>
      <c r="C226" s="3">
        <v>44183</v>
      </c>
      <c r="D226" s="2" t="str">
        <f>"004079050975"</f>
        <v>004079050975</v>
      </c>
      <c r="E226" s="3">
        <v>44170</v>
      </c>
      <c r="F226" s="2">
        <v>0</v>
      </c>
      <c r="G226" s="2">
        <v>0</v>
      </c>
      <c r="H226" s="3">
        <v>44184</v>
      </c>
      <c r="I226" s="3">
        <v>44207</v>
      </c>
      <c r="J226" s="2" t="s">
        <v>17</v>
      </c>
      <c r="K226" s="2">
        <v>21.72</v>
      </c>
      <c r="L226" s="2">
        <v>3.92</v>
      </c>
      <c r="M226" s="2">
        <v>17.8</v>
      </c>
      <c r="N226" s="2">
        <v>-23</v>
      </c>
      <c r="O226" s="4">
        <f t="shared" si="3"/>
        <v>-409.40000000000003</v>
      </c>
      <c r="R226" s="1" t="s">
        <v>26</v>
      </c>
    </row>
    <row r="227" spans="1:18" x14ac:dyDescent="0.25">
      <c r="A227" s="2" t="s">
        <v>25</v>
      </c>
      <c r="B227" s="2">
        <v>2176</v>
      </c>
      <c r="C227" s="3">
        <v>44183</v>
      </c>
      <c r="D227" s="2" t="str">
        <f>"004079050968"</f>
        <v>004079050968</v>
      </c>
      <c r="E227" s="3">
        <v>44170</v>
      </c>
      <c r="F227" s="2">
        <v>0</v>
      </c>
      <c r="G227" s="2">
        <v>0</v>
      </c>
      <c r="H227" s="3">
        <v>44184</v>
      </c>
      <c r="I227" s="3">
        <v>44207</v>
      </c>
      <c r="J227" s="2" t="s">
        <v>17</v>
      </c>
      <c r="K227" s="2">
        <v>22.36</v>
      </c>
      <c r="L227" s="2">
        <v>4.03</v>
      </c>
      <c r="M227" s="2">
        <v>18.329999999999998</v>
      </c>
      <c r="N227" s="2">
        <v>-23</v>
      </c>
      <c r="O227" s="4">
        <f t="shared" si="3"/>
        <v>-421.59</v>
      </c>
      <c r="R227" s="1" t="s">
        <v>26</v>
      </c>
    </row>
    <row r="228" spans="1:18" x14ac:dyDescent="0.25">
      <c r="A228" s="2" t="s">
        <v>25</v>
      </c>
      <c r="B228" s="2">
        <v>2190</v>
      </c>
      <c r="C228" s="3">
        <v>44183</v>
      </c>
      <c r="D228" s="2" t="str">
        <f>"004079050960"</f>
        <v>004079050960</v>
      </c>
      <c r="E228" s="3">
        <v>44170</v>
      </c>
      <c r="F228" s="2">
        <v>0</v>
      </c>
      <c r="G228" s="2">
        <v>0</v>
      </c>
      <c r="H228" s="3">
        <v>44184</v>
      </c>
      <c r="I228" s="3">
        <v>44207</v>
      </c>
      <c r="J228" s="2" t="s">
        <v>17</v>
      </c>
      <c r="K228" s="2">
        <v>104.19</v>
      </c>
      <c r="L228" s="2">
        <v>18.79</v>
      </c>
      <c r="M228" s="2">
        <v>85.4</v>
      </c>
      <c r="N228" s="2">
        <v>-23</v>
      </c>
      <c r="O228" s="4">
        <f t="shared" si="3"/>
        <v>-1964.2</v>
      </c>
      <c r="R228" s="1" t="s">
        <v>26</v>
      </c>
    </row>
    <row r="229" spans="1:18" x14ac:dyDescent="0.25">
      <c r="A229" s="2" t="s">
        <v>25</v>
      </c>
      <c r="B229" s="2">
        <v>2186</v>
      </c>
      <c r="C229" s="3">
        <v>44183</v>
      </c>
      <c r="D229" s="2" t="str">
        <f>"004079050973"</f>
        <v>004079050973</v>
      </c>
      <c r="E229" s="3">
        <v>44170</v>
      </c>
      <c r="F229" s="2">
        <v>0</v>
      </c>
      <c r="G229" s="2">
        <v>0</v>
      </c>
      <c r="H229" s="3">
        <v>44184</v>
      </c>
      <c r="I229" s="3">
        <v>44207</v>
      </c>
      <c r="J229" s="2" t="s">
        <v>17</v>
      </c>
      <c r="K229" s="2">
        <v>73.97</v>
      </c>
      <c r="L229" s="2">
        <v>13.34</v>
      </c>
      <c r="M229" s="2">
        <v>60.63</v>
      </c>
      <c r="N229" s="2">
        <v>-23</v>
      </c>
      <c r="O229" s="4">
        <f t="shared" si="3"/>
        <v>-1394.49</v>
      </c>
      <c r="R229" s="1" t="s">
        <v>26</v>
      </c>
    </row>
    <row r="230" spans="1:18" x14ac:dyDescent="0.25">
      <c r="A230" s="2" t="s">
        <v>25</v>
      </c>
      <c r="B230" s="2">
        <v>2172</v>
      </c>
      <c r="C230" s="3">
        <v>44183</v>
      </c>
      <c r="D230" s="2" t="str">
        <f>"004079050957"</f>
        <v>004079050957</v>
      </c>
      <c r="E230" s="3">
        <v>44170</v>
      </c>
      <c r="F230" s="2">
        <v>0</v>
      </c>
      <c r="G230" s="2">
        <v>0</v>
      </c>
      <c r="H230" s="3">
        <v>44184</v>
      </c>
      <c r="I230" s="3">
        <v>44207</v>
      </c>
      <c r="J230" s="2" t="s">
        <v>17</v>
      </c>
      <c r="K230" s="2">
        <v>393.57</v>
      </c>
      <c r="L230" s="2">
        <v>70.97</v>
      </c>
      <c r="M230" s="2">
        <v>322.60000000000002</v>
      </c>
      <c r="N230" s="2">
        <v>-23</v>
      </c>
      <c r="O230" s="4">
        <f t="shared" si="3"/>
        <v>-7419.8</v>
      </c>
      <c r="R230" s="1" t="s">
        <v>26</v>
      </c>
    </row>
    <row r="231" spans="1:18" x14ac:dyDescent="0.25">
      <c r="A231" s="2" t="s">
        <v>25</v>
      </c>
      <c r="B231" s="2">
        <v>2190</v>
      </c>
      <c r="C231" s="3">
        <v>44183</v>
      </c>
      <c r="D231" s="2" t="str">
        <f>"004079050964"</f>
        <v>004079050964</v>
      </c>
      <c r="E231" s="3">
        <v>44170</v>
      </c>
      <c r="F231" s="2">
        <v>0</v>
      </c>
      <c r="G231" s="2">
        <v>0</v>
      </c>
      <c r="H231" s="3">
        <v>44184</v>
      </c>
      <c r="I231" s="3">
        <v>44207</v>
      </c>
      <c r="J231" s="2" t="s">
        <v>17</v>
      </c>
      <c r="K231" s="2">
        <v>76.7</v>
      </c>
      <c r="L231" s="2">
        <v>13.83</v>
      </c>
      <c r="M231" s="2">
        <v>62.87</v>
      </c>
      <c r="N231" s="2">
        <v>-23</v>
      </c>
      <c r="O231" s="4">
        <f t="shared" si="3"/>
        <v>-1446.01</v>
      </c>
      <c r="R231" s="1" t="s">
        <v>26</v>
      </c>
    </row>
    <row r="232" spans="1:18" x14ac:dyDescent="0.25">
      <c r="A232" s="2" t="s">
        <v>25</v>
      </c>
      <c r="B232" s="2">
        <v>2190</v>
      </c>
      <c r="C232" s="3">
        <v>44183</v>
      </c>
      <c r="D232" s="2" t="str">
        <f>"004079050963"</f>
        <v>004079050963</v>
      </c>
      <c r="E232" s="3">
        <v>44170</v>
      </c>
      <c r="F232" s="2">
        <v>0</v>
      </c>
      <c r="G232" s="2">
        <v>0</v>
      </c>
      <c r="H232" s="3">
        <v>44184</v>
      </c>
      <c r="I232" s="3">
        <v>44207</v>
      </c>
      <c r="J232" s="2" t="s">
        <v>17</v>
      </c>
      <c r="K232" s="2">
        <v>74.430000000000007</v>
      </c>
      <c r="L232" s="2">
        <v>13.42</v>
      </c>
      <c r="M232" s="2">
        <v>61.01</v>
      </c>
      <c r="N232" s="2">
        <v>-23</v>
      </c>
      <c r="O232" s="4">
        <f t="shared" si="3"/>
        <v>-1403.23</v>
      </c>
      <c r="R232" s="1" t="s">
        <v>26</v>
      </c>
    </row>
    <row r="233" spans="1:18" x14ac:dyDescent="0.25">
      <c r="A233" s="2" t="s">
        <v>25</v>
      </c>
      <c r="B233" s="2">
        <v>2176</v>
      </c>
      <c r="C233" s="3">
        <v>44183</v>
      </c>
      <c r="D233" s="2" t="str">
        <f>"004079050947"</f>
        <v>004079050947</v>
      </c>
      <c r="E233" s="3">
        <v>44170</v>
      </c>
      <c r="F233" s="2">
        <v>0</v>
      </c>
      <c r="G233" s="2">
        <v>0</v>
      </c>
      <c r="H233" s="3">
        <v>44184</v>
      </c>
      <c r="I233" s="3">
        <v>44207</v>
      </c>
      <c r="J233" s="2" t="s">
        <v>17</v>
      </c>
      <c r="K233" s="2">
        <v>48.02</v>
      </c>
      <c r="L233" s="2">
        <v>8.66</v>
      </c>
      <c r="M233" s="2">
        <v>39.36</v>
      </c>
      <c r="N233" s="2">
        <v>-23</v>
      </c>
      <c r="O233" s="4">
        <f t="shared" si="3"/>
        <v>-905.28</v>
      </c>
      <c r="R233" s="1" t="s">
        <v>26</v>
      </c>
    </row>
    <row r="234" spans="1:18" x14ac:dyDescent="0.25">
      <c r="A234" s="2" t="s">
        <v>107</v>
      </c>
      <c r="B234" s="2">
        <v>2040</v>
      </c>
      <c r="C234" s="3">
        <v>44169</v>
      </c>
      <c r="D234" s="2" t="str">
        <f>"0000108"</f>
        <v>0000108</v>
      </c>
      <c r="E234" s="3">
        <v>44162</v>
      </c>
      <c r="F234" s="2">
        <v>0</v>
      </c>
      <c r="G234" s="2">
        <v>0</v>
      </c>
      <c r="H234" s="3">
        <v>44170</v>
      </c>
      <c r="I234" s="3">
        <v>44195</v>
      </c>
      <c r="J234" s="2" t="s">
        <v>17</v>
      </c>
      <c r="K234" s="4">
        <v>35420</v>
      </c>
      <c r="L234" s="4">
        <v>3220</v>
      </c>
      <c r="M234" s="4">
        <v>32200</v>
      </c>
      <c r="N234" s="2">
        <v>-25</v>
      </c>
      <c r="O234" s="4">
        <f t="shared" si="3"/>
        <v>-805000</v>
      </c>
      <c r="R234" s="1" t="s">
        <v>14</v>
      </c>
    </row>
    <row r="235" spans="1:18" ht="24" x14ac:dyDescent="0.25">
      <c r="A235" s="2" t="s">
        <v>31</v>
      </c>
      <c r="B235" s="2">
        <v>2078</v>
      </c>
      <c r="C235" s="3">
        <v>44177</v>
      </c>
      <c r="D235" s="2" t="s">
        <v>108</v>
      </c>
      <c r="E235" s="3">
        <v>44169</v>
      </c>
      <c r="F235" s="2">
        <v>0</v>
      </c>
      <c r="G235" s="2">
        <v>0</v>
      </c>
      <c r="H235" s="3">
        <v>44177</v>
      </c>
      <c r="I235" s="3">
        <v>44202</v>
      </c>
      <c r="J235" s="2" t="s">
        <v>17</v>
      </c>
      <c r="K235" s="2">
        <v>38.18</v>
      </c>
      <c r="L235" s="2">
        <v>5.31</v>
      </c>
      <c r="M235" s="2">
        <v>32.869999999999997</v>
      </c>
      <c r="N235" s="2">
        <v>-25</v>
      </c>
      <c r="O235" s="4">
        <f t="shared" si="3"/>
        <v>-821.74999999999989</v>
      </c>
      <c r="R235" s="1" t="s">
        <v>22</v>
      </c>
    </row>
    <row r="236" spans="1:18" x14ac:dyDescent="0.25">
      <c r="A236" s="2" t="s">
        <v>37</v>
      </c>
      <c r="B236" s="2">
        <v>1835</v>
      </c>
      <c r="C236" s="3">
        <v>44147</v>
      </c>
      <c r="D236" s="2" t="s">
        <v>109</v>
      </c>
      <c r="E236" s="3">
        <v>44134</v>
      </c>
      <c r="F236" s="2">
        <v>0</v>
      </c>
      <c r="G236" s="2">
        <v>0</v>
      </c>
      <c r="H236" s="3">
        <v>44149</v>
      </c>
      <c r="I236" s="3">
        <v>44174</v>
      </c>
      <c r="J236" s="2" t="s">
        <v>17</v>
      </c>
      <c r="K236" s="2">
        <v>305</v>
      </c>
      <c r="L236" s="2">
        <v>55</v>
      </c>
      <c r="M236" s="2">
        <v>250</v>
      </c>
      <c r="N236" s="2">
        <v>-25</v>
      </c>
      <c r="O236" s="4">
        <f t="shared" si="3"/>
        <v>-6250</v>
      </c>
      <c r="R236" s="1" t="s">
        <v>39</v>
      </c>
    </row>
    <row r="237" spans="1:18" ht="24" x14ac:dyDescent="0.25">
      <c r="A237" s="2" t="s">
        <v>110</v>
      </c>
      <c r="B237" s="2">
        <v>2218</v>
      </c>
      <c r="C237" s="3">
        <v>44184</v>
      </c>
      <c r="D237" s="2" t="s">
        <v>111</v>
      </c>
      <c r="E237" s="3">
        <v>44175</v>
      </c>
      <c r="F237" s="2">
        <v>0</v>
      </c>
      <c r="G237" s="2">
        <v>0</v>
      </c>
      <c r="H237" s="3">
        <v>44184</v>
      </c>
      <c r="I237" s="3">
        <v>44209</v>
      </c>
      <c r="J237" s="2" t="s">
        <v>17</v>
      </c>
      <c r="K237" s="2">
        <v>691.74</v>
      </c>
      <c r="L237" s="2">
        <v>124.74</v>
      </c>
      <c r="M237" s="2">
        <v>567</v>
      </c>
      <c r="N237" s="2">
        <v>-25</v>
      </c>
      <c r="O237" s="4">
        <f t="shared" si="3"/>
        <v>-14175</v>
      </c>
      <c r="R237" s="1" t="s">
        <v>112</v>
      </c>
    </row>
    <row r="238" spans="1:18" ht="24" x14ac:dyDescent="0.25">
      <c r="A238" s="2" t="s">
        <v>110</v>
      </c>
      <c r="B238" s="2">
        <v>2217</v>
      </c>
      <c r="C238" s="3">
        <v>44184</v>
      </c>
      <c r="D238" s="2" t="s">
        <v>113</v>
      </c>
      <c r="E238" s="3">
        <v>44175</v>
      </c>
      <c r="F238" s="2">
        <v>0</v>
      </c>
      <c r="G238" s="2">
        <v>0</v>
      </c>
      <c r="H238" s="3">
        <v>44184</v>
      </c>
      <c r="I238" s="3">
        <v>44209</v>
      </c>
      <c r="J238" s="2" t="s">
        <v>17</v>
      </c>
      <c r="K238" s="2">
        <v>162.26</v>
      </c>
      <c r="L238" s="2">
        <v>29.26</v>
      </c>
      <c r="M238" s="2">
        <v>133</v>
      </c>
      <c r="N238" s="2">
        <v>-25</v>
      </c>
      <c r="O238" s="4">
        <f t="shared" si="3"/>
        <v>-3325</v>
      </c>
      <c r="R238" s="1" t="s">
        <v>112</v>
      </c>
    </row>
    <row r="239" spans="1:18" ht="24" x14ac:dyDescent="0.25">
      <c r="A239" s="2" t="s">
        <v>110</v>
      </c>
      <c r="B239" s="2">
        <v>2220</v>
      </c>
      <c r="C239" s="3">
        <v>44184</v>
      </c>
      <c r="D239" s="2" t="s">
        <v>114</v>
      </c>
      <c r="E239" s="3">
        <v>44176</v>
      </c>
      <c r="F239" s="2">
        <v>0</v>
      </c>
      <c r="G239" s="2">
        <v>0</v>
      </c>
      <c r="H239" s="3">
        <v>44184</v>
      </c>
      <c r="I239" s="3">
        <v>44209</v>
      </c>
      <c r="J239" s="2" t="s">
        <v>17</v>
      </c>
      <c r="K239" s="2">
        <v>782.18</v>
      </c>
      <c r="L239" s="2">
        <v>141.05000000000001</v>
      </c>
      <c r="M239" s="2">
        <v>641.13</v>
      </c>
      <c r="N239" s="2">
        <v>-25</v>
      </c>
      <c r="O239" s="4">
        <f t="shared" si="3"/>
        <v>-16028.25</v>
      </c>
      <c r="R239" s="1" t="s">
        <v>112</v>
      </c>
    </row>
    <row r="240" spans="1:18" x14ac:dyDescent="0.25">
      <c r="A240" s="2" t="s">
        <v>115</v>
      </c>
      <c r="B240" s="2">
        <v>1641</v>
      </c>
      <c r="C240" s="3">
        <v>44113</v>
      </c>
      <c r="D240" s="2" t="s">
        <v>116</v>
      </c>
      <c r="E240" s="3">
        <v>44105</v>
      </c>
      <c r="F240" s="2">
        <v>0</v>
      </c>
      <c r="G240" s="2">
        <v>0</v>
      </c>
      <c r="H240" s="3">
        <v>44114</v>
      </c>
      <c r="I240" s="3">
        <v>44139</v>
      </c>
      <c r="J240" s="2" t="s">
        <v>17</v>
      </c>
      <c r="K240" s="4">
        <v>2926.38</v>
      </c>
      <c r="L240" s="2">
        <v>527.71</v>
      </c>
      <c r="M240" s="4">
        <v>2398.67</v>
      </c>
      <c r="N240" s="2">
        <v>-25</v>
      </c>
      <c r="O240" s="4">
        <f t="shared" si="3"/>
        <v>-59966.75</v>
      </c>
      <c r="R240" s="1" t="s">
        <v>41</v>
      </c>
    </row>
    <row r="241" spans="1:18" x14ac:dyDescent="0.25">
      <c r="A241" s="2" t="s">
        <v>117</v>
      </c>
      <c r="B241" s="2">
        <v>1666</v>
      </c>
      <c r="C241" s="3">
        <v>44121</v>
      </c>
      <c r="D241" s="2" t="s">
        <v>118</v>
      </c>
      <c r="E241" s="3">
        <v>43931</v>
      </c>
      <c r="F241" s="2">
        <v>0</v>
      </c>
      <c r="G241" s="2">
        <v>0</v>
      </c>
      <c r="H241" s="3">
        <v>44121</v>
      </c>
      <c r="I241" s="3">
        <v>44146</v>
      </c>
      <c r="J241" s="2" t="s">
        <v>17</v>
      </c>
      <c r="K241" s="2">
        <v>291</v>
      </c>
      <c r="L241" s="2">
        <v>0</v>
      </c>
      <c r="M241" s="2">
        <v>291</v>
      </c>
      <c r="N241" s="2">
        <v>-25</v>
      </c>
      <c r="O241" s="4">
        <f t="shared" si="3"/>
        <v>-7275</v>
      </c>
      <c r="R241" s="1" t="s">
        <v>119</v>
      </c>
    </row>
    <row r="242" spans="1:18" x14ac:dyDescent="0.25">
      <c r="A242" s="2" t="s">
        <v>120</v>
      </c>
      <c r="B242" s="2">
        <v>1859</v>
      </c>
      <c r="C242" s="3">
        <v>44149</v>
      </c>
      <c r="D242" s="2" t="s">
        <v>121</v>
      </c>
      <c r="E242" s="3">
        <v>44134</v>
      </c>
      <c r="F242" s="2">
        <v>0</v>
      </c>
      <c r="G242" s="2">
        <v>0</v>
      </c>
      <c r="H242" s="3">
        <v>44149</v>
      </c>
      <c r="I242" s="3">
        <v>44174</v>
      </c>
      <c r="J242" s="2" t="s">
        <v>17</v>
      </c>
      <c r="K242" s="2">
        <v>30.74</v>
      </c>
      <c r="L242" s="2">
        <v>5.54</v>
      </c>
      <c r="M242" s="2">
        <v>25.2</v>
      </c>
      <c r="N242" s="2">
        <v>-25</v>
      </c>
      <c r="O242" s="4">
        <f t="shared" si="3"/>
        <v>-630</v>
      </c>
      <c r="R242" s="1" t="s">
        <v>24</v>
      </c>
    </row>
    <row r="243" spans="1:18" x14ac:dyDescent="0.25">
      <c r="A243" s="2" t="s">
        <v>19</v>
      </c>
      <c r="B243" s="2">
        <v>2005</v>
      </c>
      <c r="C243" s="3">
        <v>44163</v>
      </c>
      <c r="D243" s="2" t="str">
        <f>"1613"</f>
        <v>1613</v>
      </c>
      <c r="E243" s="3">
        <v>44158</v>
      </c>
      <c r="F243" s="2">
        <v>0</v>
      </c>
      <c r="G243" s="2">
        <v>0</v>
      </c>
      <c r="H243" s="3">
        <v>44163</v>
      </c>
      <c r="I243" s="3">
        <v>44188</v>
      </c>
      <c r="J243" s="2" t="s">
        <v>17</v>
      </c>
      <c r="K243" s="2">
        <v>924</v>
      </c>
      <c r="L243" s="2">
        <v>84</v>
      </c>
      <c r="M243" s="2">
        <v>840</v>
      </c>
      <c r="N243" s="2">
        <v>-25</v>
      </c>
      <c r="O243" s="4">
        <f t="shared" si="3"/>
        <v>-21000</v>
      </c>
      <c r="R243" s="1" t="s">
        <v>20</v>
      </c>
    </row>
    <row r="244" spans="1:18" x14ac:dyDescent="0.25">
      <c r="A244" s="2" t="s">
        <v>122</v>
      </c>
      <c r="B244" s="2">
        <v>2195</v>
      </c>
      <c r="C244" s="3">
        <v>44183</v>
      </c>
      <c r="D244" s="2" t="s">
        <v>123</v>
      </c>
      <c r="E244" s="3">
        <v>44179</v>
      </c>
      <c r="F244" s="2">
        <v>0</v>
      </c>
      <c r="G244" s="2">
        <v>0</v>
      </c>
      <c r="H244" s="3">
        <v>44184</v>
      </c>
      <c r="I244" s="3">
        <v>44209</v>
      </c>
      <c r="J244" s="2" t="s">
        <v>17</v>
      </c>
      <c r="K244" s="4">
        <v>44631.48</v>
      </c>
      <c r="L244" s="4">
        <v>2540.25</v>
      </c>
      <c r="M244" s="4">
        <v>42091.23</v>
      </c>
      <c r="N244" s="2">
        <v>-25</v>
      </c>
      <c r="O244" s="4">
        <f t="shared" si="3"/>
        <v>-1052280.75</v>
      </c>
      <c r="R244" s="1" t="s">
        <v>124</v>
      </c>
    </row>
    <row r="245" spans="1:18" x14ac:dyDescent="0.25">
      <c r="A245" s="2" t="s">
        <v>122</v>
      </c>
      <c r="B245" s="2">
        <v>2196</v>
      </c>
      <c r="C245" s="3">
        <v>44183</v>
      </c>
      <c r="D245" s="2" t="s">
        <v>123</v>
      </c>
      <c r="E245" s="3">
        <v>44179</v>
      </c>
      <c r="F245" s="2">
        <v>0</v>
      </c>
      <c r="G245" s="2">
        <v>0</v>
      </c>
      <c r="H245" s="3">
        <v>44184</v>
      </c>
      <c r="I245" s="3">
        <v>44209</v>
      </c>
      <c r="J245" s="2" t="s">
        <v>17</v>
      </c>
      <c r="K245" s="2">
        <v>289.54000000000002</v>
      </c>
      <c r="L245" s="2">
        <v>16.48</v>
      </c>
      <c r="M245" s="2">
        <v>273.06</v>
      </c>
      <c r="N245" s="2">
        <v>-25</v>
      </c>
      <c r="O245" s="4">
        <f t="shared" si="3"/>
        <v>-6826.5</v>
      </c>
      <c r="R245" s="1" t="s">
        <v>124</v>
      </c>
    </row>
    <row r="246" spans="1:18" x14ac:dyDescent="0.25">
      <c r="A246" s="2" t="s">
        <v>125</v>
      </c>
      <c r="B246" s="2">
        <v>1680</v>
      </c>
      <c r="C246" s="3">
        <v>44121</v>
      </c>
      <c r="D246" s="2" t="s">
        <v>126</v>
      </c>
      <c r="E246" s="3">
        <v>44047</v>
      </c>
      <c r="F246" s="2">
        <v>0</v>
      </c>
      <c r="G246" s="2">
        <v>0</v>
      </c>
      <c r="H246" s="3">
        <v>44121</v>
      </c>
      <c r="I246" s="3">
        <v>44147</v>
      </c>
      <c r="J246" s="2" t="s">
        <v>17</v>
      </c>
      <c r="K246" s="4">
        <v>3200</v>
      </c>
      <c r="L246" s="2">
        <v>577.04999999999995</v>
      </c>
      <c r="M246" s="4">
        <v>2622.95</v>
      </c>
      <c r="N246" s="2">
        <v>-26</v>
      </c>
      <c r="O246" s="4">
        <f t="shared" si="3"/>
        <v>-68196.7</v>
      </c>
      <c r="R246" s="1" t="s">
        <v>127</v>
      </c>
    </row>
    <row r="247" spans="1:18" x14ac:dyDescent="0.25">
      <c r="A247" s="2" t="s">
        <v>115</v>
      </c>
      <c r="B247" s="2">
        <v>2039</v>
      </c>
      <c r="C247" s="3">
        <v>44169</v>
      </c>
      <c r="D247" s="2" t="s">
        <v>128</v>
      </c>
      <c r="E247" s="3">
        <v>44166</v>
      </c>
      <c r="F247" s="2">
        <v>0</v>
      </c>
      <c r="G247" s="2">
        <v>0</v>
      </c>
      <c r="H247" s="3">
        <v>44170</v>
      </c>
      <c r="I247" s="3">
        <v>44196</v>
      </c>
      <c r="J247" s="2" t="s">
        <v>17</v>
      </c>
      <c r="K247" s="4">
        <v>2926.38</v>
      </c>
      <c r="L247" s="2">
        <v>527.71</v>
      </c>
      <c r="M247" s="4">
        <v>2398.67</v>
      </c>
      <c r="N247" s="2">
        <v>-26</v>
      </c>
      <c r="O247" s="4">
        <f t="shared" si="3"/>
        <v>-62365.42</v>
      </c>
      <c r="R247" s="1" t="s">
        <v>41</v>
      </c>
    </row>
    <row r="248" spans="1:18" ht="24" x14ac:dyDescent="0.25">
      <c r="A248" s="2" t="s">
        <v>129</v>
      </c>
      <c r="B248" s="2">
        <v>2024</v>
      </c>
      <c r="C248" s="3">
        <v>44169</v>
      </c>
      <c r="D248" s="2" t="str">
        <f>"1010651016"</f>
        <v>1010651016</v>
      </c>
      <c r="E248" s="3">
        <v>44165</v>
      </c>
      <c r="F248" s="2">
        <v>0</v>
      </c>
      <c r="G248" s="2">
        <v>0</v>
      </c>
      <c r="H248" s="3">
        <v>44170</v>
      </c>
      <c r="I248" s="3">
        <v>44196</v>
      </c>
      <c r="J248" s="2" t="s">
        <v>17</v>
      </c>
      <c r="K248" s="2">
        <v>149.05000000000001</v>
      </c>
      <c r="L248" s="2">
        <v>26.88</v>
      </c>
      <c r="M248" s="2">
        <v>122.17</v>
      </c>
      <c r="N248" s="2">
        <v>-26</v>
      </c>
      <c r="O248" s="4">
        <f t="shared" si="3"/>
        <v>-3176.42</v>
      </c>
      <c r="R248" s="1" t="s">
        <v>130</v>
      </c>
    </row>
    <row r="249" spans="1:18" ht="24" x14ac:dyDescent="0.25">
      <c r="A249" s="2" t="s">
        <v>129</v>
      </c>
      <c r="B249" s="2">
        <v>2025</v>
      </c>
      <c r="C249" s="3">
        <v>44169</v>
      </c>
      <c r="D249" s="2" t="str">
        <f>"1010651017"</f>
        <v>1010651017</v>
      </c>
      <c r="E249" s="3">
        <v>44165</v>
      </c>
      <c r="F249" s="2">
        <v>0</v>
      </c>
      <c r="G249" s="2">
        <v>0</v>
      </c>
      <c r="H249" s="3">
        <v>44170</v>
      </c>
      <c r="I249" s="3">
        <v>44196</v>
      </c>
      <c r="J249" s="2" t="s">
        <v>17</v>
      </c>
      <c r="K249" s="2">
        <v>434.91</v>
      </c>
      <c r="L249" s="2">
        <v>78.430000000000007</v>
      </c>
      <c r="M249" s="2">
        <v>356.48</v>
      </c>
      <c r="N249" s="2">
        <v>-26</v>
      </c>
      <c r="O249" s="4">
        <f t="shared" si="3"/>
        <v>-9268.48</v>
      </c>
      <c r="R249" s="1" t="s">
        <v>130</v>
      </c>
    </row>
    <row r="250" spans="1:18" x14ac:dyDescent="0.25">
      <c r="A250" s="2" t="s">
        <v>104</v>
      </c>
      <c r="B250" s="2">
        <v>1824</v>
      </c>
      <c r="C250" s="3">
        <v>44141</v>
      </c>
      <c r="D250" s="2" t="s">
        <v>131</v>
      </c>
      <c r="E250" s="3">
        <v>44135</v>
      </c>
      <c r="F250" s="2">
        <v>0</v>
      </c>
      <c r="G250" s="2">
        <v>0</v>
      </c>
      <c r="H250" s="3">
        <v>44142</v>
      </c>
      <c r="I250" s="3">
        <v>44168</v>
      </c>
      <c r="J250" s="2" t="s">
        <v>17</v>
      </c>
      <c r="K250" s="4">
        <v>1677.5</v>
      </c>
      <c r="L250" s="2">
        <v>0</v>
      </c>
      <c r="M250" s="4">
        <v>1677.5</v>
      </c>
      <c r="N250" s="2">
        <v>-26</v>
      </c>
      <c r="O250" s="4">
        <f t="shared" si="3"/>
        <v>-43615</v>
      </c>
      <c r="R250" s="1" t="s">
        <v>83</v>
      </c>
    </row>
    <row r="251" spans="1:18" x14ac:dyDescent="0.25">
      <c r="A251" s="2" t="s">
        <v>117</v>
      </c>
      <c r="B251" s="2">
        <v>1825</v>
      </c>
      <c r="C251" s="3">
        <v>44141</v>
      </c>
      <c r="D251" s="2" t="s">
        <v>132</v>
      </c>
      <c r="E251" s="3">
        <v>44138</v>
      </c>
      <c r="F251" s="2">
        <v>0</v>
      </c>
      <c r="G251" s="2">
        <v>0</v>
      </c>
      <c r="H251" s="3">
        <v>44142</v>
      </c>
      <c r="I251" s="3">
        <v>44168</v>
      </c>
      <c r="J251" s="2" t="s">
        <v>17</v>
      </c>
      <c r="K251" s="4">
        <v>35570.71</v>
      </c>
      <c r="L251" s="2">
        <v>0</v>
      </c>
      <c r="M251" s="4">
        <v>35570.71</v>
      </c>
      <c r="N251" s="2">
        <v>-26</v>
      </c>
      <c r="O251" s="4">
        <f t="shared" si="3"/>
        <v>-924838.46</v>
      </c>
      <c r="R251" s="1" t="s">
        <v>41</v>
      </c>
    </row>
    <row r="252" spans="1:18" x14ac:dyDescent="0.25">
      <c r="A252" s="2" t="s">
        <v>120</v>
      </c>
      <c r="B252" s="2">
        <v>1859</v>
      </c>
      <c r="C252" s="3">
        <v>44149</v>
      </c>
      <c r="D252" s="2" t="s">
        <v>133</v>
      </c>
      <c r="E252" s="3">
        <v>44134</v>
      </c>
      <c r="F252" s="2">
        <v>0</v>
      </c>
      <c r="G252" s="2">
        <v>0</v>
      </c>
      <c r="H252" s="3">
        <v>44149</v>
      </c>
      <c r="I252" s="3">
        <v>44175</v>
      </c>
      <c r="J252" s="2" t="s">
        <v>17</v>
      </c>
      <c r="K252" s="2">
        <v>102.05</v>
      </c>
      <c r="L252" s="2">
        <v>15.22</v>
      </c>
      <c r="M252" s="2">
        <v>86.83</v>
      </c>
      <c r="N252" s="2">
        <v>-26</v>
      </c>
      <c r="O252" s="4">
        <f t="shared" si="3"/>
        <v>-2257.58</v>
      </c>
      <c r="R252" s="1" t="s">
        <v>24</v>
      </c>
    </row>
    <row r="253" spans="1:18" x14ac:dyDescent="0.25">
      <c r="A253" s="2" t="s">
        <v>134</v>
      </c>
      <c r="B253" s="2">
        <v>2181</v>
      </c>
      <c r="C253" s="3">
        <v>44183</v>
      </c>
      <c r="D253" s="2" t="str">
        <f>"152240"</f>
        <v>152240</v>
      </c>
      <c r="E253" s="3">
        <v>44165</v>
      </c>
      <c r="F253" s="2">
        <v>0</v>
      </c>
      <c r="G253" s="2">
        <v>0</v>
      </c>
      <c r="H253" s="3">
        <v>44184</v>
      </c>
      <c r="I253" s="3">
        <v>44210</v>
      </c>
      <c r="J253" s="2" t="s">
        <v>17</v>
      </c>
      <c r="K253" s="2">
        <v>78.58</v>
      </c>
      <c r="L253" s="2">
        <v>14.17</v>
      </c>
      <c r="M253" s="2">
        <v>64.41</v>
      </c>
      <c r="N253" s="2">
        <v>-26</v>
      </c>
      <c r="O253" s="4">
        <f t="shared" si="3"/>
        <v>-1674.6599999999999</v>
      </c>
      <c r="R253" s="1" t="s">
        <v>20</v>
      </c>
    </row>
    <row r="254" spans="1:18" x14ac:dyDescent="0.25">
      <c r="A254" s="2" t="s">
        <v>134</v>
      </c>
      <c r="B254" s="2">
        <v>2174</v>
      </c>
      <c r="C254" s="3">
        <v>44183</v>
      </c>
      <c r="D254" s="2" t="str">
        <f>"152239"</f>
        <v>152239</v>
      </c>
      <c r="E254" s="3">
        <v>44165</v>
      </c>
      <c r="F254" s="2">
        <v>0</v>
      </c>
      <c r="G254" s="2">
        <v>0</v>
      </c>
      <c r="H254" s="3">
        <v>44184</v>
      </c>
      <c r="I254" s="3">
        <v>44210</v>
      </c>
      <c r="J254" s="2" t="s">
        <v>17</v>
      </c>
      <c r="K254" s="2">
        <v>65.67</v>
      </c>
      <c r="L254" s="2">
        <v>11.84</v>
      </c>
      <c r="M254" s="2">
        <v>53.83</v>
      </c>
      <c r="N254" s="2">
        <v>-26</v>
      </c>
      <c r="O254" s="4">
        <f t="shared" si="3"/>
        <v>-1399.58</v>
      </c>
      <c r="R254" s="1" t="s">
        <v>20</v>
      </c>
    </row>
    <row r="255" spans="1:18" x14ac:dyDescent="0.25">
      <c r="A255" s="2" t="s">
        <v>134</v>
      </c>
      <c r="B255" s="2">
        <v>2174</v>
      </c>
      <c r="C255" s="3">
        <v>44183</v>
      </c>
      <c r="D255" s="2" t="str">
        <f>"152243"</f>
        <v>152243</v>
      </c>
      <c r="E255" s="3">
        <v>44165</v>
      </c>
      <c r="F255" s="2">
        <v>0</v>
      </c>
      <c r="G255" s="2">
        <v>0</v>
      </c>
      <c r="H255" s="3">
        <v>44184</v>
      </c>
      <c r="I255" s="3">
        <v>44210</v>
      </c>
      <c r="J255" s="2" t="s">
        <v>17</v>
      </c>
      <c r="K255" s="2">
        <v>476.21</v>
      </c>
      <c r="L255" s="2">
        <v>85.87</v>
      </c>
      <c r="M255" s="2">
        <v>390.34</v>
      </c>
      <c r="N255" s="2">
        <v>-26</v>
      </c>
      <c r="O255" s="4">
        <f t="shared" si="3"/>
        <v>-10148.84</v>
      </c>
      <c r="R255" s="1" t="s">
        <v>20</v>
      </c>
    </row>
    <row r="256" spans="1:18" x14ac:dyDescent="0.25">
      <c r="A256" s="2" t="s">
        <v>134</v>
      </c>
      <c r="B256" s="2">
        <v>2184</v>
      </c>
      <c r="C256" s="3">
        <v>44183</v>
      </c>
      <c r="D256" s="2" t="str">
        <f>"152242"</f>
        <v>152242</v>
      </c>
      <c r="E256" s="3">
        <v>44165</v>
      </c>
      <c r="F256" s="2">
        <v>0</v>
      </c>
      <c r="G256" s="2">
        <v>0</v>
      </c>
      <c r="H256" s="3">
        <v>44184</v>
      </c>
      <c r="I256" s="3">
        <v>44210</v>
      </c>
      <c r="J256" s="2" t="s">
        <v>17</v>
      </c>
      <c r="K256" s="2">
        <v>78.150000000000006</v>
      </c>
      <c r="L256" s="2">
        <v>14.09</v>
      </c>
      <c r="M256" s="2">
        <v>64.06</v>
      </c>
      <c r="N256" s="2">
        <v>-26</v>
      </c>
      <c r="O256" s="4">
        <f t="shared" si="3"/>
        <v>-1665.56</v>
      </c>
      <c r="R256" s="1" t="s">
        <v>20</v>
      </c>
    </row>
    <row r="257" spans="1:18" x14ac:dyDescent="0.25">
      <c r="A257" s="2" t="s">
        <v>134</v>
      </c>
      <c r="B257" s="2">
        <v>2188</v>
      </c>
      <c r="C257" s="3">
        <v>44183</v>
      </c>
      <c r="D257" s="2" t="str">
        <f>"152245"</f>
        <v>152245</v>
      </c>
      <c r="E257" s="3">
        <v>44165</v>
      </c>
      <c r="F257" s="2">
        <v>0</v>
      </c>
      <c r="G257" s="2">
        <v>0</v>
      </c>
      <c r="H257" s="3">
        <v>44184</v>
      </c>
      <c r="I257" s="3">
        <v>44210</v>
      </c>
      <c r="J257" s="2" t="s">
        <v>17</v>
      </c>
      <c r="K257" s="2">
        <v>81.23</v>
      </c>
      <c r="L257" s="2">
        <v>14.65</v>
      </c>
      <c r="M257" s="2">
        <v>66.58</v>
      </c>
      <c r="N257" s="2">
        <v>-26</v>
      </c>
      <c r="O257" s="4">
        <f t="shared" si="3"/>
        <v>-1731.08</v>
      </c>
      <c r="R257" s="1" t="s">
        <v>20</v>
      </c>
    </row>
    <row r="258" spans="1:18" x14ac:dyDescent="0.25">
      <c r="A258" s="2" t="s">
        <v>134</v>
      </c>
      <c r="B258" s="2">
        <v>2182</v>
      </c>
      <c r="C258" s="3">
        <v>44183</v>
      </c>
      <c r="D258" s="2" t="str">
        <f>"152246"</f>
        <v>152246</v>
      </c>
      <c r="E258" s="3">
        <v>44165</v>
      </c>
      <c r="F258" s="2">
        <v>0</v>
      </c>
      <c r="G258" s="2">
        <v>0</v>
      </c>
      <c r="H258" s="3">
        <v>44184</v>
      </c>
      <c r="I258" s="3">
        <v>44210</v>
      </c>
      <c r="J258" s="2" t="s">
        <v>17</v>
      </c>
      <c r="K258" s="2">
        <v>248.71</v>
      </c>
      <c r="L258" s="2">
        <v>44.85</v>
      </c>
      <c r="M258" s="2">
        <v>203.86</v>
      </c>
      <c r="N258" s="2">
        <v>-26</v>
      </c>
      <c r="O258" s="4">
        <f t="shared" si="3"/>
        <v>-5300.3600000000006</v>
      </c>
      <c r="R258" s="1" t="s">
        <v>20</v>
      </c>
    </row>
    <row r="259" spans="1:18" x14ac:dyDescent="0.25">
      <c r="A259" s="2" t="s">
        <v>134</v>
      </c>
      <c r="B259" s="2">
        <v>2174</v>
      </c>
      <c r="C259" s="3">
        <v>44183</v>
      </c>
      <c r="D259" s="2" t="str">
        <f>"152244"</f>
        <v>152244</v>
      </c>
      <c r="E259" s="3">
        <v>44165</v>
      </c>
      <c r="F259" s="2">
        <v>0</v>
      </c>
      <c r="G259" s="2">
        <v>0</v>
      </c>
      <c r="H259" s="3">
        <v>44184</v>
      </c>
      <c r="I259" s="3">
        <v>44210</v>
      </c>
      <c r="J259" s="2" t="s">
        <v>17</v>
      </c>
      <c r="K259" s="2">
        <v>95.73</v>
      </c>
      <c r="L259" s="2">
        <v>17.260000000000002</v>
      </c>
      <c r="M259" s="2">
        <v>78.47</v>
      </c>
      <c r="N259" s="2">
        <v>-26</v>
      </c>
      <c r="O259" s="4">
        <f t="shared" ref="O259:O322" si="4">+M259*N259</f>
        <v>-2040.22</v>
      </c>
      <c r="R259" s="1" t="s">
        <v>20</v>
      </c>
    </row>
    <row r="260" spans="1:18" x14ac:dyDescent="0.25">
      <c r="A260" s="2" t="s">
        <v>134</v>
      </c>
      <c r="B260" s="2">
        <v>2179</v>
      </c>
      <c r="C260" s="3">
        <v>44183</v>
      </c>
      <c r="D260" s="2" t="str">
        <f>"152241"</f>
        <v>152241</v>
      </c>
      <c r="E260" s="3">
        <v>44165</v>
      </c>
      <c r="F260" s="2">
        <v>0</v>
      </c>
      <c r="G260" s="2">
        <v>0</v>
      </c>
      <c r="H260" s="3">
        <v>44184</v>
      </c>
      <c r="I260" s="3">
        <v>44210</v>
      </c>
      <c r="J260" s="2" t="s">
        <v>17</v>
      </c>
      <c r="K260" s="2">
        <v>84.77</v>
      </c>
      <c r="L260" s="2">
        <v>15.29</v>
      </c>
      <c r="M260" s="2">
        <v>69.48</v>
      </c>
      <c r="N260" s="2">
        <v>-26</v>
      </c>
      <c r="O260" s="4">
        <f t="shared" si="4"/>
        <v>-1806.48</v>
      </c>
      <c r="R260" s="1" t="s">
        <v>20</v>
      </c>
    </row>
    <row r="261" spans="1:18" x14ac:dyDescent="0.25">
      <c r="A261" s="2" t="s">
        <v>135</v>
      </c>
      <c r="B261" s="2">
        <v>2035</v>
      </c>
      <c r="C261" s="3">
        <v>44169</v>
      </c>
      <c r="D261" s="2" t="str">
        <f>"1068000139"</f>
        <v>1068000139</v>
      </c>
      <c r="E261" s="3">
        <v>44158</v>
      </c>
      <c r="F261" s="2">
        <v>0</v>
      </c>
      <c r="G261" s="2">
        <v>0</v>
      </c>
      <c r="H261" s="3">
        <v>44170</v>
      </c>
      <c r="I261" s="3">
        <v>44196</v>
      </c>
      <c r="J261" s="2" t="s">
        <v>17</v>
      </c>
      <c r="K261" s="4">
        <v>1123.2</v>
      </c>
      <c r="L261" s="2">
        <v>0</v>
      </c>
      <c r="M261" s="4">
        <v>1123.2</v>
      </c>
      <c r="N261" s="2">
        <v>-26</v>
      </c>
      <c r="O261" s="4">
        <f t="shared" si="4"/>
        <v>-29203.200000000001</v>
      </c>
      <c r="R261" s="1" t="s">
        <v>63</v>
      </c>
    </row>
    <row r="262" spans="1:18" x14ac:dyDescent="0.25">
      <c r="A262" s="2" t="s">
        <v>27</v>
      </c>
      <c r="B262" s="2">
        <v>1814</v>
      </c>
      <c r="C262" s="3">
        <v>44141</v>
      </c>
      <c r="D262" s="2" t="s">
        <v>136</v>
      </c>
      <c r="E262" s="3">
        <v>44134</v>
      </c>
      <c r="F262" s="2">
        <v>0</v>
      </c>
      <c r="G262" s="2">
        <v>0</v>
      </c>
      <c r="H262" s="3">
        <v>44142</v>
      </c>
      <c r="I262" s="3">
        <v>44169</v>
      </c>
      <c r="J262" s="2" t="s">
        <v>17</v>
      </c>
      <c r="K262" s="4">
        <v>1392.02</v>
      </c>
      <c r="L262" s="2">
        <v>251.02</v>
      </c>
      <c r="M262" s="4">
        <v>1141</v>
      </c>
      <c r="N262" s="2">
        <v>-27</v>
      </c>
      <c r="O262" s="4">
        <f t="shared" si="4"/>
        <v>-30807</v>
      </c>
      <c r="R262" s="1" t="s">
        <v>29</v>
      </c>
    </row>
    <row r="263" spans="1:18" x14ac:dyDescent="0.25">
      <c r="A263" s="2" t="s">
        <v>37</v>
      </c>
      <c r="B263" s="2">
        <v>2079</v>
      </c>
      <c r="C263" s="3">
        <v>44177</v>
      </c>
      <c r="D263" s="2" t="s">
        <v>137</v>
      </c>
      <c r="E263" s="3">
        <v>44165</v>
      </c>
      <c r="F263" s="2">
        <v>0</v>
      </c>
      <c r="G263" s="2">
        <v>0</v>
      </c>
      <c r="H263" s="3">
        <v>44177</v>
      </c>
      <c r="I263" s="3">
        <v>44204</v>
      </c>
      <c r="J263" s="2" t="s">
        <v>17</v>
      </c>
      <c r="K263" s="2">
        <v>356.85</v>
      </c>
      <c r="L263" s="2">
        <v>64.349999999999994</v>
      </c>
      <c r="M263" s="2">
        <v>292.5</v>
      </c>
      <c r="N263" s="2">
        <v>-27</v>
      </c>
      <c r="O263" s="4">
        <f t="shared" si="4"/>
        <v>-7897.5</v>
      </c>
      <c r="R263" s="1" t="s">
        <v>39</v>
      </c>
    </row>
    <row r="264" spans="1:18" ht="24" x14ac:dyDescent="0.25">
      <c r="A264" s="2" t="s">
        <v>138</v>
      </c>
      <c r="B264" s="2">
        <v>2002</v>
      </c>
      <c r="C264" s="3">
        <v>44163</v>
      </c>
      <c r="D264" s="2" t="str">
        <f>"159"</f>
        <v>159</v>
      </c>
      <c r="E264" s="3">
        <v>44160</v>
      </c>
      <c r="F264" s="2">
        <v>0</v>
      </c>
      <c r="G264" s="2">
        <v>0</v>
      </c>
      <c r="H264" s="3">
        <v>44163</v>
      </c>
      <c r="I264" s="3">
        <v>44190</v>
      </c>
      <c r="J264" s="2" t="s">
        <v>17</v>
      </c>
      <c r="K264" s="2">
        <v>219.6</v>
      </c>
      <c r="L264" s="2">
        <v>39.6</v>
      </c>
      <c r="M264" s="2">
        <v>180</v>
      </c>
      <c r="N264" s="2">
        <v>-27</v>
      </c>
      <c r="O264" s="4">
        <f t="shared" si="4"/>
        <v>-4860</v>
      </c>
      <c r="R264" s="1" t="s">
        <v>124</v>
      </c>
    </row>
    <row r="265" spans="1:18" x14ac:dyDescent="0.25">
      <c r="A265" s="2" t="s">
        <v>62</v>
      </c>
      <c r="B265" s="2">
        <v>1797</v>
      </c>
      <c r="C265" s="3">
        <v>44135</v>
      </c>
      <c r="D265" s="2" t="str">
        <f>"42004177116"</f>
        <v>42004177116</v>
      </c>
      <c r="E265" s="3">
        <v>44127</v>
      </c>
      <c r="F265" s="2">
        <v>0</v>
      </c>
      <c r="G265" s="2">
        <v>0</v>
      </c>
      <c r="H265" s="3">
        <v>44135</v>
      </c>
      <c r="I265" s="3">
        <v>44162</v>
      </c>
      <c r="J265" s="2" t="s">
        <v>17</v>
      </c>
      <c r="K265" s="2">
        <v>89.16</v>
      </c>
      <c r="L265" s="2">
        <v>12.38</v>
      </c>
      <c r="M265" s="2">
        <v>76.78</v>
      </c>
      <c r="N265" s="2">
        <v>-27</v>
      </c>
      <c r="O265" s="4">
        <f t="shared" si="4"/>
        <v>-2073.06</v>
      </c>
      <c r="R265" s="1" t="s">
        <v>63</v>
      </c>
    </row>
    <row r="266" spans="1:18" x14ac:dyDescent="0.25">
      <c r="A266" s="2" t="s">
        <v>25</v>
      </c>
      <c r="B266" s="2">
        <v>2193</v>
      </c>
      <c r="C266" s="3">
        <v>44183</v>
      </c>
      <c r="D266" s="2" t="str">
        <f>"004084914700"</f>
        <v>004084914700</v>
      </c>
      <c r="E266" s="3">
        <v>44176</v>
      </c>
      <c r="F266" s="2">
        <v>0</v>
      </c>
      <c r="G266" s="2">
        <v>0</v>
      </c>
      <c r="H266" s="3">
        <v>44184</v>
      </c>
      <c r="I266" s="3">
        <v>44211</v>
      </c>
      <c r="J266" s="2" t="s">
        <v>17</v>
      </c>
      <c r="K266" s="2">
        <v>0.39</v>
      </c>
      <c r="L266" s="2">
        <v>7.0000000000000007E-2</v>
      </c>
      <c r="M266" s="2">
        <v>0.32</v>
      </c>
      <c r="N266" s="2">
        <v>-27</v>
      </c>
      <c r="O266" s="4">
        <f t="shared" si="4"/>
        <v>-8.64</v>
      </c>
      <c r="R266" s="1" t="s">
        <v>26</v>
      </c>
    </row>
    <row r="267" spans="1:18" x14ac:dyDescent="0.25">
      <c r="A267" s="2" t="s">
        <v>25</v>
      </c>
      <c r="B267" s="2">
        <v>2180</v>
      </c>
      <c r="C267" s="3">
        <v>44183</v>
      </c>
      <c r="D267" s="2" t="str">
        <f>"004084914701"</f>
        <v>004084914701</v>
      </c>
      <c r="E267" s="3">
        <v>44176</v>
      </c>
      <c r="F267" s="2">
        <v>0</v>
      </c>
      <c r="G267" s="2">
        <v>0</v>
      </c>
      <c r="H267" s="3">
        <v>44184</v>
      </c>
      <c r="I267" s="3">
        <v>44211</v>
      </c>
      <c r="J267" s="2" t="s">
        <v>17</v>
      </c>
      <c r="K267" s="2">
        <v>148.43</v>
      </c>
      <c r="L267" s="2">
        <v>26.77</v>
      </c>
      <c r="M267" s="2">
        <v>121.66</v>
      </c>
      <c r="N267" s="2">
        <v>-27</v>
      </c>
      <c r="O267" s="4">
        <f t="shared" si="4"/>
        <v>-3284.8199999999997</v>
      </c>
      <c r="R267" s="1" t="s">
        <v>26</v>
      </c>
    </row>
    <row r="268" spans="1:18" x14ac:dyDescent="0.25">
      <c r="A268" s="2" t="s">
        <v>25</v>
      </c>
      <c r="B268" s="2">
        <v>2178</v>
      </c>
      <c r="C268" s="3">
        <v>44183</v>
      </c>
      <c r="D268" s="2" t="str">
        <f>"004084914699"</f>
        <v>004084914699</v>
      </c>
      <c r="E268" s="3">
        <v>44176</v>
      </c>
      <c r="F268" s="2">
        <v>0</v>
      </c>
      <c r="G268" s="2">
        <v>0</v>
      </c>
      <c r="H268" s="3">
        <v>44184</v>
      </c>
      <c r="I268" s="3">
        <v>44211</v>
      </c>
      <c r="J268" s="2" t="s">
        <v>17</v>
      </c>
      <c r="K268" s="2">
        <v>397.11</v>
      </c>
      <c r="L268" s="2">
        <v>71.61</v>
      </c>
      <c r="M268" s="2">
        <v>325.5</v>
      </c>
      <c r="N268" s="2">
        <v>-27</v>
      </c>
      <c r="O268" s="4">
        <f t="shared" si="4"/>
        <v>-8788.5</v>
      </c>
      <c r="R268" s="1" t="s">
        <v>26</v>
      </c>
    </row>
    <row r="269" spans="1:18" x14ac:dyDescent="0.25">
      <c r="A269" s="2" t="s">
        <v>25</v>
      </c>
      <c r="B269" s="2">
        <v>2189</v>
      </c>
      <c r="C269" s="3">
        <v>44183</v>
      </c>
      <c r="D269" s="2" t="str">
        <f>"004084914702"</f>
        <v>004084914702</v>
      </c>
      <c r="E269" s="3">
        <v>44176</v>
      </c>
      <c r="F269" s="2">
        <v>0</v>
      </c>
      <c r="G269" s="2">
        <v>0</v>
      </c>
      <c r="H269" s="3">
        <v>44184</v>
      </c>
      <c r="I269" s="3">
        <v>44211</v>
      </c>
      <c r="J269" s="2" t="s">
        <v>17</v>
      </c>
      <c r="K269" s="2">
        <v>278.58999999999997</v>
      </c>
      <c r="L269" s="2">
        <v>50.24</v>
      </c>
      <c r="M269" s="2">
        <v>228.35</v>
      </c>
      <c r="N269" s="2">
        <v>-27</v>
      </c>
      <c r="O269" s="4">
        <f t="shared" si="4"/>
        <v>-6165.45</v>
      </c>
      <c r="R269" s="1" t="s">
        <v>26</v>
      </c>
    </row>
    <row r="270" spans="1:18" x14ac:dyDescent="0.25">
      <c r="A270" s="2" t="s">
        <v>107</v>
      </c>
      <c r="B270" s="2">
        <v>2041</v>
      </c>
      <c r="C270" s="3">
        <v>44169</v>
      </c>
      <c r="D270" s="2" t="str">
        <f>"0000112"</f>
        <v>0000112</v>
      </c>
      <c r="E270" s="3">
        <v>44167</v>
      </c>
      <c r="F270" s="2">
        <v>0</v>
      </c>
      <c r="G270" s="2">
        <v>0</v>
      </c>
      <c r="H270" s="3">
        <v>44170</v>
      </c>
      <c r="I270" s="3">
        <v>44198</v>
      </c>
      <c r="J270" s="2" t="s">
        <v>17</v>
      </c>
      <c r="K270" s="4">
        <v>19800</v>
      </c>
      <c r="L270" s="4">
        <v>1800</v>
      </c>
      <c r="M270" s="4">
        <v>18000</v>
      </c>
      <c r="N270" s="2">
        <v>-28</v>
      </c>
      <c r="O270" s="4">
        <f t="shared" si="4"/>
        <v>-504000</v>
      </c>
      <c r="R270" s="1" t="s">
        <v>14</v>
      </c>
    </row>
    <row r="271" spans="1:18" ht="24" x14ac:dyDescent="0.25">
      <c r="A271" s="2" t="s">
        <v>34</v>
      </c>
      <c r="B271" s="2">
        <v>2080</v>
      </c>
      <c r="C271" s="3">
        <v>44177</v>
      </c>
      <c r="D271" s="2" t="s">
        <v>139</v>
      </c>
      <c r="E271" s="3">
        <v>44165</v>
      </c>
      <c r="F271" s="2">
        <v>0</v>
      </c>
      <c r="G271" s="2">
        <v>0</v>
      </c>
      <c r="H271" s="3">
        <v>44177</v>
      </c>
      <c r="I271" s="3">
        <v>44205</v>
      </c>
      <c r="J271" s="2" t="s">
        <v>17</v>
      </c>
      <c r="K271" s="4">
        <v>2377.62</v>
      </c>
      <c r="L271" s="2">
        <v>113.22</v>
      </c>
      <c r="M271" s="4">
        <v>2264.4</v>
      </c>
      <c r="N271" s="2">
        <v>-28</v>
      </c>
      <c r="O271" s="4">
        <f t="shared" si="4"/>
        <v>-63403.200000000004</v>
      </c>
      <c r="R271" s="1" t="s">
        <v>36</v>
      </c>
    </row>
    <row r="272" spans="1:18" x14ac:dyDescent="0.25">
      <c r="A272" s="2" t="s">
        <v>58</v>
      </c>
      <c r="B272" s="2">
        <v>2069</v>
      </c>
      <c r="C272" s="3">
        <v>44176</v>
      </c>
      <c r="D272" s="2" t="s">
        <v>140</v>
      </c>
      <c r="E272" s="3">
        <v>44174</v>
      </c>
      <c r="F272" s="2">
        <v>0</v>
      </c>
      <c r="G272" s="2">
        <v>0</v>
      </c>
      <c r="H272" s="3">
        <v>44177</v>
      </c>
      <c r="I272" s="3">
        <v>44205</v>
      </c>
      <c r="J272" s="2" t="s">
        <v>17</v>
      </c>
      <c r="K272" s="4">
        <v>6344</v>
      </c>
      <c r="L272" s="4">
        <v>1144</v>
      </c>
      <c r="M272" s="4">
        <v>5200</v>
      </c>
      <c r="N272" s="2">
        <v>-28</v>
      </c>
      <c r="O272" s="4">
        <f t="shared" si="4"/>
        <v>-145600</v>
      </c>
      <c r="R272" s="1" t="s">
        <v>60</v>
      </c>
    </row>
    <row r="273" spans="1:18" x14ac:dyDescent="0.25">
      <c r="A273" s="2" t="s">
        <v>115</v>
      </c>
      <c r="B273" s="2">
        <v>1826</v>
      </c>
      <c r="C273" s="3">
        <v>44141</v>
      </c>
      <c r="D273" s="2" t="s">
        <v>141</v>
      </c>
      <c r="E273" s="3">
        <v>44137</v>
      </c>
      <c r="F273" s="2">
        <v>0</v>
      </c>
      <c r="G273" s="2">
        <v>0</v>
      </c>
      <c r="H273" s="3">
        <v>44142</v>
      </c>
      <c r="I273" s="3">
        <v>44170</v>
      </c>
      <c r="J273" s="2" t="s">
        <v>17</v>
      </c>
      <c r="K273" s="4">
        <v>2926.38</v>
      </c>
      <c r="L273" s="2">
        <v>527.71</v>
      </c>
      <c r="M273" s="4">
        <v>2398.67</v>
      </c>
      <c r="N273" s="2">
        <v>-28</v>
      </c>
      <c r="O273" s="4">
        <f t="shared" si="4"/>
        <v>-67162.760000000009</v>
      </c>
      <c r="R273" s="1" t="s">
        <v>41</v>
      </c>
    </row>
    <row r="274" spans="1:18" x14ac:dyDescent="0.25">
      <c r="A274" s="2" t="s">
        <v>142</v>
      </c>
      <c r="B274" s="2">
        <v>1822</v>
      </c>
      <c r="C274" s="3">
        <v>44141</v>
      </c>
      <c r="D274" s="2" t="s">
        <v>143</v>
      </c>
      <c r="E274" s="3">
        <v>44135</v>
      </c>
      <c r="F274" s="2">
        <v>0</v>
      </c>
      <c r="G274" s="2">
        <v>0</v>
      </c>
      <c r="H274" s="3">
        <v>44142</v>
      </c>
      <c r="I274" s="3">
        <v>44170</v>
      </c>
      <c r="J274" s="2" t="s">
        <v>17</v>
      </c>
      <c r="K274" s="2">
        <v>75.400000000000006</v>
      </c>
      <c r="L274" s="2">
        <v>13.6</v>
      </c>
      <c r="M274" s="2">
        <v>61.8</v>
      </c>
      <c r="N274" s="2">
        <v>-28</v>
      </c>
      <c r="O274" s="4">
        <f t="shared" si="4"/>
        <v>-1730.3999999999999</v>
      </c>
      <c r="R274" s="1" t="s">
        <v>14</v>
      </c>
    </row>
    <row r="275" spans="1:18" ht="24" x14ac:dyDescent="0.25">
      <c r="A275" s="2" t="s">
        <v>73</v>
      </c>
      <c r="B275" s="2">
        <v>1858</v>
      </c>
      <c r="C275" s="3">
        <v>44149</v>
      </c>
      <c r="D275" s="2" t="s">
        <v>144</v>
      </c>
      <c r="E275" s="3">
        <v>44141</v>
      </c>
      <c r="F275" s="2">
        <v>0</v>
      </c>
      <c r="G275" s="2">
        <v>0</v>
      </c>
      <c r="H275" s="3">
        <v>44149</v>
      </c>
      <c r="I275" s="3">
        <v>44177</v>
      </c>
      <c r="J275" s="2" t="s">
        <v>17</v>
      </c>
      <c r="K275" s="2">
        <v>251.32</v>
      </c>
      <c r="L275" s="2">
        <v>45.32</v>
      </c>
      <c r="M275" s="2">
        <v>206</v>
      </c>
      <c r="N275" s="2">
        <v>-28</v>
      </c>
      <c r="O275" s="4">
        <f t="shared" si="4"/>
        <v>-5768</v>
      </c>
      <c r="R275" s="1" t="s">
        <v>145</v>
      </c>
    </row>
    <row r="276" spans="1:18" x14ac:dyDescent="0.25">
      <c r="A276" s="2" t="s">
        <v>146</v>
      </c>
      <c r="B276" s="2">
        <v>1596</v>
      </c>
      <c r="C276" s="3">
        <v>44107</v>
      </c>
      <c r="D276" s="2" t="s">
        <v>147</v>
      </c>
      <c r="E276" s="3">
        <v>44099</v>
      </c>
      <c r="F276" s="2">
        <v>0</v>
      </c>
      <c r="G276" s="2">
        <v>0</v>
      </c>
      <c r="H276" s="3">
        <v>44107</v>
      </c>
      <c r="I276" s="3">
        <v>44135</v>
      </c>
      <c r="J276" s="2" t="s">
        <v>17</v>
      </c>
      <c r="K276" s="4">
        <v>3904.98</v>
      </c>
      <c r="L276" s="2">
        <v>704.18</v>
      </c>
      <c r="M276" s="4">
        <v>3200.8</v>
      </c>
      <c r="N276" s="2">
        <v>-28</v>
      </c>
      <c r="O276" s="4">
        <f t="shared" si="4"/>
        <v>-89622.400000000009</v>
      </c>
      <c r="R276" s="1" t="s">
        <v>56</v>
      </c>
    </row>
    <row r="277" spans="1:18" x14ac:dyDescent="0.25">
      <c r="A277" s="2" t="s">
        <v>134</v>
      </c>
      <c r="B277" s="2">
        <v>1673</v>
      </c>
      <c r="C277" s="3">
        <v>44121</v>
      </c>
      <c r="D277" s="2" t="str">
        <f>"121278"</f>
        <v>121278</v>
      </c>
      <c r="E277" s="3">
        <v>44104</v>
      </c>
      <c r="F277" s="2">
        <v>0</v>
      </c>
      <c r="G277" s="2">
        <v>0</v>
      </c>
      <c r="H277" s="3">
        <v>44121</v>
      </c>
      <c r="I277" s="3">
        <v>44149</v>
      </c>
      <c r="J277" s="2" t="s">
        <v>17</v>
      </c>
      <c r="K277" s="2">
        <v>78.459999999999994</v>
      </c>
      <c r="L277" s="2">
        <v>14.15</v>
      </c>
      <c r="M277" s="2">
        <v>64.31</v>
      </c>
      <c r="N277" s="2">
        <v>-28</v>
      </c>
      <c r="O277" s="4">
        <f t="shared" si="4"/>
        <v>-1800.68</v>
      </c>
      <c r="R277" s="1" t="s">
        <v>20</v>
      </c>
    </row>
    <row r="278" spans="1:18" x14ac:dyDescent="0.25">
      <c r="A278" s="2" t="s">
        <v>134</v>
      </c>
      <c r="B278" s="2">
        <v>1670</v>
      </c>
      <c r="C278" s="3">
        <v>44121</v>
      </c>
      <c r="D278" s="2" t="str">
        <f>"121280"</f>
        <v>121280</v>
      </c>
      <c r="E278" s="3">
        <v>44104</v>
      </c>
      <c r="F278" s="2">
        <v>0</v>
      </c>
      <c r="G278" s="2">
        <v>0</v>
      </c>
      <c r="H278" s="3">
        <v>44121</v>
      </c>
      <c r="I278" s="3">
        <v>44149</v>
      </c>
      <c r="J278" s="2" t="s">
        <v>17</v>
      </c>
      <c r="K278" s="2">
        <v>226.46</v>
      </c>
      <c r="L278" s="2">
        <v>40.840000000000003</v>
      </c>
      <c r="M278" s="2">
        <v>185.62</v>
      </c>
      <c r="N278" s="2">
        <v>-28</v>
      </c>
      <c r="O278" s="4">
        <f t="shared" si="4"/>
        <v>-5197.3600000000006</v>
      </c>
      <c r="R278" s="1" t="s">
        <v>20</v>
      </c>
    </row>
    <row r="279" spans="1:18" x14ac:dyDescent="0.25">
      <c r="A279" s="2" t="s">
        <v>134</v>
      </c>
      <c r="B279" s="2">
        <v>1669</v>
      </c>
      <c r="C279" s="3">
        <v>44121</v>
      </c>
      <c r="D279" s="2" t="str">
        <f>"121282"</f>
        <v>121282</v>
      </c>
      <c r="E279" s="3">
        <v>44104</v>
      </c>
      <c r="F279" s="2">
        <v>0</v>
      </c>
      <c r="G279" s="2">
        <v>0</v>
      </c>
      <c r="H279" s="3">
        <v>44121</v>
      </c>
      <c r="I279" s="3">
        <v>44149</v>
      </c>
      <c r="J279" s="2" t="s">
        <v>17</v>
      </c>
      <c r="K279" s="2">
        <v>77.930000000000007</v>
      </c>
      <c r="L279" s="2">
        <v>14.05</v>
      </c>
      <c r="M279" s="2">
        <v>63.88</v>
      </c>
      <c r="N279" s="2">
        <v>-28</v>
      </c>
      <c r="O279" s="4">
        <f t="shared" si="4"/>
        <v>-1788.64</v>
      </c>
      <c r="R279" s="1" t="s">
        <v>20</v>
      </c>
    </row>
    <row r="280" spans="1:18" x14ac:dyDescent="0.25">
      <c r="A280" s="2" t="s">
        <v>134</v>
      </c>
      <c r="B280" s="2">
        <v>1664</v>
      </c>
      <c r="C280" s="3">
        <v>44121</v>
      </c>
      <c r="D280" s="2" t="str">
        <f>"121279"</f>
        <v>121279</v>
      </c>
      <c r="E280" s="3">
        <v>44104</v>
      </c>
      <c r="F280" s="2">
        <v>0</v>
      </c>
      <c r="G280" s="2">
        <v>0</v>
      </c>
      <c r="H280" s="3">
        <v>44121</v>
      </c>
      <c r="I280" s="3">
        <v>44149</v>
      </c>
      <c r="J280" s="2" t="s">
        <v>17</v>
      </c>
      <c r="K280" s="2">
        <v>95.73</v>
      </c>
      <c r="L280" s="2">
        <v>17.260000000000002</v>
      </c>
      <c r="M280" s="2">
        <v>78.47</v>
      </c>
      <c r="N280" s="2">
        <v>-28</v>
      </c>
      <c r="O280" s="4">
        <f t="shared" si="4"/>
        <v>-2197.16</v>
      </c>
      <c r="R280" s="1" t="s">
        <v>20</v>
      </c>
    </row>
    <row r="281" spans="1:18" x14ac:dyDescent="0.25">
      <c r="A281" s="2" t="s">
        <v>134</v>
      </c>
      <c r="B281" s="2">
        <v>1676</v>
      </c>
      <c r="C281" s="3">
        <v>44121</v>
      </c>
      <c r="D281" s="2" t="str">
        <f>"121281"</f>
        <v>121281</v>
      </c>
      <c r="E281" s="3">
        <v>44104</v>
      </c>
      <c r="F281" s="2">
        <v>0</v>
      </c>
      <c r="G281" s="2">
        <v>0</v>
      </c>
      <c r="H281" s="3">
        <v>44121</v>
      </c>
      <c r="I281" s="3">
        <v>44149</v>
      </c>
      <c r="J281" s="2" t="s">
        <v>17</v>
      </c>
      <c r="K281" s="2">
        <v>81.7</v>
      </c>
      <c r="L281" s="2">
        <v>14.73</v>
      </c>
      <c r="M281" s="2">
        <v>66.97</v>
      </c>
      <c r="N281" s="2">
        <v>-28</v>
      </c>
      <c r="O281" s="4">
        <f t="shared" si="4"/>
        <v>-1875.1599999999999</v>
      </c>
      <c r="R281" s="1" t="s">
        <v>20</v>
      </c>
    </row>
    <row r="282" spans="1:18" x14ac:dyDescent="0.25">
      <c r="A282" s="2" t="s">
        <v>134</v>
      </c>
      <c r="B282" s="2">
        <v>1668</v>
      </c>
      <c r="C282" s="3">
        <v>44121</v>
      </c>
      <c r="D282" s="2" t="str">
        <f>"121283"</f>
        <v>121283</v>
      </c>
      <c r="E282" s="3">
        <v>44104</v>
      </c>
      <c r="F282" s="2">
        <v>0</v>
      </c>
      <c r="G282" s="2">
        <v>0</v>
      </c>
      <c r="H282" s="3">
        <v>44121</v>
      </c>
      <c r="I282" s="3">
        <v>44149</v>
      </c>
      <c r="J282" s="2" t="s">
        <v>17</v>
      </c>
      <c r="K282" s="2">
        <v>83.35</v>
      </c>
      <c r="L282" s="2">
        <v>15.03</v>
      </c>
      <c r="M282" s="2">
        <v>68.319999999999993</v>
      </c>
      <c r="N282" s="2">
        <v>-28</v>
      </c>
      <c r="O282" s="4">
        <f t="shared" si="4"/>
        <v>-1912.9599999999998</v>
      </c>
      <c r="R282" s="1" t="s">
        <v>20</v>
      </c>
    </row>
    <row r="283" spans="1:18" x14ac:dyDescent="0.25">
      <c r="A283" s="2" t="s">
        <v>134</v>
      </c>
      <c r="B283" s="2">
        <v>1664</v>
      </c>
      <c r="C283" s="3">
        <v>44121</v>
      </c>
      <c r="D283" s="2" t="str">
        <f>"121277"</f>
        <v>121277</v>
      </c>
      <c r="E283" s="3">
        <v>44104</v>
      </c>
      <c r="F283" s="2">
        <v>0</v>
      </c>
      <c r="G283" s="2">
        <v>0</v>
      </c>
      <c r="H283" s="3">
        <v>44121</v>
      </c>
      <c r="I283" s="3">
        <v>44149</v>
      </c>
      <c r="J283" s="2" t="s">
        <v>17</v>
      </c>
      <c r="K283" s="2">
        <v>485.36</v>
      </c>
      <c r="L283" s="2">
        <v>87.52</v>
      </c>
      <c r="M283" s="2">
        <v>397.84</v>
      </c>
      <c r="N283" s="2">
        <v>-28</v>
      </c>
      <c r="O283" s="4">
        <f t="shared" si="4"/>
        <v>-11139.519999999999</v>
      </c>
      <c r="R283" s="1" t="s">
        <v>20</v>
      </c>
    </row>
    <row r="284" spans="1:18" x14ac:dyDescent="0.25">
      <c r="A284" s="2" t="s">
        <v>134</v>
      </c>
      <c r="B284" s="2">
        <v>1664</v>
      </c>
      <c r="C284" s="3">
        <v>44121</v>
      </c>
      <c r="D284" s="2" t="str">
        <f>"121276"</f>
        <v>121276</v>
      </c>
      <c r="E284" s="3">
        <v>44104</v>
      </c>
      <c r="F284" s="2">
        <v>0</v>
      </c>
      <c r="G284" s="2">
        <v>0</v>
      </c>
      <c r="H284" s="3">
        <v>44121</v>
      </c>
      <c r="I284" s="3">
        <v>44149</v>
      </c>
      <c r="J284" s="2" t="s">
        <v>17</v>
      </c>
      <c r="K284" s="2">
        <v>40.659999999999997</v>
      </c>
      <c r="L284" s="2">
        <v>7.33</v>
      </c>
      <c r="M284" s="2">
        <v>33.33</v>
      </c>
      <c r="N284" s="2">
        <v>-28</v>
      </c>
      <c r="O284" s="4">
        <f t="shared" si="4"/>
        <v>-933.24</v>
      </c>
      <c r="R284" s="1" t="s">
        <v>20</v>
      </c>
    </row>
    <row r="285" spans="1:18" x14ac:dyDescent="0.25">
      <c r="A285" s="2" t="s">
        <v>23</v>
      </c>
      <c r="B285" s="2">
        <v>1617</v>
      </c>
      <c r="C285" s="3">
        <v>44113</v>
      </c>
      <c r="D285" s="2" t="str">
        <f>"20187"</f>
        <v>20187</v>
      </c>
      <c r="E285" s="3">
        <v>44083</v>
      </c>
      <c r="F285" s="2">
        <v>0</v>
      </c>
      <c r="G285" s="2">
        <v>0</v>
      </c>
      <c r="H285" s="3">
        <v>44114</v>
      </c>
      <c r="I285" s="3">
        <v>44143</v>
      </c>
      <c r="J285" s="2" t="s">
        <v>17</v>
      </c>
      <c r="K285" s="2">
        <v>81.34</v>
      </c>
      <c r="L285" s="2">
        <v>14.67</v>
      </c>
      <c r="M285" s="2">
        <v>66.67</v>
      </c>
      <c r="N285" s="2">
        <v>-29</v>
      </c>
      <c r="O285" s="4">
        <f t="shared" si="4"/>
        <v>-1933.43</v>
      </c>
      <c r="R285" s="1" t="s">
        <v>24</v>
      </c>
    </row>
    <row r="286" spans="1:18" x14ac:dyDescent="0.25">
      <c r="A286" s="2" t="s">
        <v>23</v>
      </c>
      <c r="B286" s="2">
        <v>1616</v>
      </c>
      <c r="C286" s="3">
        <v>44113</v>
      </c>
      <c r="D286" s="2" t="str">
        <f>"20186"</f>
        <v>20186</v>
      </c>
      <c r="E286" s="3">
        <v>44083</v>
      </c>
      <c r="F286" s="2">
        <v>0</v>
      </c>
      <c r="G286" s="2">
        <v>0</v>
      </c>
      <c r="H286" s="3">
        <v>44114</v>
      </c>
      <c r="I286" s="3">
        <v>44143</v>
      </c>
      <c r="J286" s="2" t="s">
        <v>17</v>
      </c>
      <c r="K286" s="4">
        <v>2043.6</v>
      </c>
      <c r="L286" s="2">
        <v>368.52</v>
      </c>
      <c r="M286" s="4">
        <v>1675.08</v>
      </c>
      <c r="N286" s="2">
        <v>-29</v>
      </c>
      <c r="O286" s="4">
        <f t="shared" si="4"/>
        <v>-48577.32</v>
      </c>
      <c r="R286" s="1" t="s">
        <v>24</v>
      </c>
    </row>
    <row r="287" spans="1:18" ht="24" x14ac:dyDescent="0.25">
      <c r="A287" s="2" t="s">
        <v>110</v>
      </c>
      <c r="B287" s="2">
        <v>2221</v>
      </c>
      <c r="C287" s="3">
        <v>44184</v>
      </c>
      <c r="D287" s="2" t="s">
        <v>148</v>
      </c>
      <c r="E287" s="3">
        <v>44182</v>
      </c>
      <c r="F287" s="2">
        <v>0</v>
      </c>
      <c r="G287" s="2">
        <v>0</v>
      </c>
      <c r="H287" s="3">
        <v>44184</v>
      </c>
      <c r="I287" s="3">
        <v>44213</v>
      </c>
      <c r="J287" s="2" t="s">
        <v>17</v>
      </c>
      <c r="K287" s="4">
        <v>2215.52</v>
      </c>
      <c r="L287" s="2">
        <v>399.52</v>
      </c>
      <c r="M287" s="4">
        <v>1816</v>
      </c>
      <c r="N287" s="2">
        <v>-29</v>
      </c>
      <c r="O287" s="4">
        <f t="shared" si="4"/>
        <v>-52664</v>
      </c>
      <c r="R287" s="1" t="s">
        <v>112</v>
      </c>
    </row>
    <row r="288" spans="1:18" x14ac:dyDescent="0.25">
      <c r="A288" s="2" t="s">
        <v>104</v>
      </c>
      <c r="B288" s="2">
        <v>2062</v>
      </c>
      <c r="C288" s="3">
        <v>44176</v>
      </c>
      <c r="D288" s="2" t="s">
        <v>149</v>
      </c>
      <c r="E288" s="3">
        <v>44165</v>
      </c>
      <c r="F288" s="2">
        <v>0</v>
      </c>
      <c r="G288" s="2">
        <v>0</v>
      </c>
      <c r="H288" s="3">
        <v>44177</v>
      </c>
      <c r="I288" s="3">
        <v>44207</v>
      </c>
      <c r="J288" s="2" t="s">
        <v>17</v>
      </c>
      <c r="K288" s="4">
        <v>1517</v>
      </c>
      <c r="L288" s="2">
        <v>0</v>
      </c>
      <c r="M288" s="4">
        <v>1517</v>
      </c>
      <c r="N288" s="2">
        <v>-30</v>
      </c>
      <c r="O288" s="4">
        <f t="shared" si="4"/>
        <v>-45510</v>
      </c>
      <c r="R288" s="1" t="s">
        <v>83</v>
      </c>
    </row>
    <row r="289" spans="1:18" x14ac:dyDescent="0.25">
      <c r="A289" s="2" t="s">
        <v>25</v>
      </c>
      <c r="B289" s="2">
        <v>2064</v>
      </c>
      <c r="C289" s="3">
        <v>44176</v>
      </c>
      <c r="D289" s="2" t="str">
        <f>"004079050942"</f>
        <v>004079050942</v>
      </c>
      <c r="E289" s="3">
        <v>44170</v>
      </c>
      <c r="F289" s="2">
        <v>0</v>
      </c>
      <c r="G289" s="2">
        <v>0</v>
      </c>
      <c r="H289" s="3">
        <v>44177</v>
      </c>
      <c r="I289" s="3">
        <v>44207</v>
      </c>
      <c r="J289" s="2" t="s">
        <v>17</v>
      </c>
      <c r="K289" s="2">
        <v>8.0299999999999994</v>
      </c>
      <c r="L289" s="2">
        <v>1.45</v>
      </c>
      <c r="M289" s="2">
        <v>6.58</v>
      </c>
      <c r="N289" s="2">
        <v>-30</v>
      </c>
      <c r="O289" s="4">
        <f t="shared" si="4"/>
        <v>-197.4</v>
      </c>
      <c r="R289" s="1" t="s">
        <v>26</v>
      </c>
    </row>
    <row r="290" spans="1:18" x14ac:dyDescent="0.25">
      <c r="A290" s="2" t="s">
        <v>25</v>
      </c>
      <c r="B290" s="2">
        <v>2046</v>
      </c>
      <c r="C290" s="3">
        <v>44176</v>
      </c>
      <c r="D290" s="2" t="str">
        <f>"004079050934"</f>
        <v>004079050934</v>
      </c>
      <c r="E290" s="3">
        <v>44170</v>
      </c>
      <c r="F290" s="2">
        <v>0</v>
      </c>
      <c r="G290" s="2">
        <v>0</v>
      </c>
      <c r="H290" s="3">
        <v>44177</v>
      </c>
      <c r="I290" s="3">
        <v>44207</v>
      </c>
      <c r="J290" s="2" t="s">
        <v>17</v>
      </c>
      <c r="K290" s="2">
        <v>44.98</v>
      </c>
      <c r="L290" s="2">
        <v>8.11</v>
      </c>
      <c r="M290" s="2">
        <v>36.869999999999997</v>
      </c>
      <c r="N290" s="2">
        <v>-30</v>
      </c>
      <c r="O290" s="4">
        <f t="shared" si="4"/>
        <v>-1106.0999999999999</v>
      </c>
      <c r="R290" s="1" t="s">
        <v>26</v>
      </c>
    </row>
    <row r="291" spans="1:18" x14ac:dyDescent="0.25">
      <c r="A291" s="2" t="s">
        <v>25</v>
      </c>
      <c r="B291" s="2">
        <v>2065</v>
      </c>
      <c r="C291" s="3">
        <v>44176</v>
      </c>
      <c r="D291" s="2" t="str">
        <f>"004079050937"</f>
        <v>004079050937</v>
      </c>
      <c r="E291" s="3">
        <v>44170</v>
      </c>
      <c r="F291" s="2">
        <v>0</v>
      </c>
      <c r="G291" s="2">
        <v>0</v>
      </c>
      <c r="H291" s="3">
        <v>44177</v>
      </c>
      <c r="I291" s="3">
        <v>44207</v>
      </c>
      <c r="J291" s="2" t="s">
        <v>17</v>
      </c>
      <c r="K291" s="2">
        <v>229.62</v>
      </c>
      <c r="L291" s="2">
        <v>41.41</v>
      </c>
      <c r="M291" s="2">
        <v>188.21</v>
      </c>
      <c r="N291" s="2">
        <v>-30</v>
      </c>
      <c r="O291" s="4">
        <f t="shared" si="4"/>
        <v>-5646.3</v>
      </c>
      <c r="R291" s="1" t="s">
        <v>26</v>
      </c>
    </row>
    <row r="292" spans="1:18" x14ac:dyDescent="0.25">
      <c r="A292" s="2" t="s">
        <v>25</v>
      </c>
      <c r="B292" s="2">
        <v>2064</v>
      </c>
      <c r="C292" s="3">
        <v>44176</v>
      </c>
      <c r="D292" s="2" t="str">
        <f>"004079050941"</f>
        <v>004079050941</v>
      </c>
      <c r="E292" s="3">
        <v>44170</v>
      </c>
      <c r="F292" s="2">
        <v>0</v>
      </c>
      <c r="G292" s="2">
        <v>0</v>
      </c>
      <c r="H292" s="3">
        <v>44177</v>
      </c>
      <c r="I292" s="3">
        <v>44207</v>
      </c>
      <c r="J292" s="2" t="s">
        <v>17</v>
      </c>
      <c r="K292" s="2">
        <v>23.74</v>
      </c>
      <c r="L292" s="2">
        <v>4.28</v>
      </c>
      <c r="M292" s="2">
        <v>19.46</v>
      </c>
      <c r="N292" s="2">
        <v>-30</v>
      </c>
      <c r="O292" s="4">
        <f t="shared" si="4"/>
        <v>-583.80000000000007</v>
      </c>
      <c r="R292" s="1" t="s">
        <v>26</v>
      </c>
    </row>
    <row r="293" spans="1:18" x14ac:dyDescent="0.25">
      <c r="A293" s="2" t="s">
        <v>25</v>
      </c>
      <c r="B293" s="2">
        <v>2066</v>
      </c>
      <c r="C293" s="3">
        <v>44176</v>
      </c>
      <c r="D293" s="2" t="str">
        <f>"004079050929"</f>
        <v>004079050929</v>
      </c>
      <c r="E293" s="3">
        <v>44170</v>
      </c>
      <c r="F293" s="2">
        <v>0</v>
      </c>
      <c r="G293" s="2">
        <v>0</v>
      </c>
      <c r="H293" s="3">
        <v>44177</v>
      </c>
      <c r="I293" s="3">
        <v>44207</v>
      </c>
      <c r="J293" s="2" t="s">
        <v>17</v>
      </c>
      <c r="K293" s="2">
        <v>11.14</v>
      </c>
      <c r="L293" s="2">
        <v>2.0099999999999998</v>
      </c>
      <c r="M293" s="2">
        <v>9.1300000000000008</v>
      </c>
      <c r="N293" s="2">
        <v>-30</v>
      </c>
      <c r="O293" s="4">
        <f t="shared" si="4"/>
        <v>-273.90000000000003</v>
      </c>
      <c r="R293" s="1" t="s">
        <v>26</v>
      </c>
    </row>
    <row r="294" spans="1:18" x14ac:dyDescent="0.25">
      <c r="A294" s="2" t="s">
        <v>25</v>
      </c>
      <c r="B294" s="2">
        <v>2066</v>
      </c>
      <c r="C294" s="3">
        <v>44176</v>
      </c>
      <c r="D294" s="2" t="str">
        <f>"004079050935"</f>
        <v>004079050935</v>
      </c>
      <c r="E294" s="3">
        <v>44170</v>
      </c>
      <c r="F294" s="2">
        <v>0</v>
      </c>
      <c r="G294" s="2">
        <v>0</v>
      </c>
      <c r="H294" s="3">
        <v>44177</v>
      </c>
      <c r="I294" s="3">
        <v>44207</v>
      </c>
      <c r="J294" s="2" t="s">
        <v>17</v>
      </c>
      <c r="K294" s="2">
        <v>140.03</v>
      </c>
      <c r="L294" s="2">
        <v>25.25</v>
      </c>
      <c r="M294" s="2">
        <v>114.78</v>
      </c>
      <c r="N294" s="2">
        <v>-30</v>
      </c>
      <c r="O294" s="4">
        <f t="shared" si="4"/>
        <v>-3443.4</v>
      </c>
      <c r="R294" s="1" t="s">
        <v>26</v>
      </c>
    </row>
    <row r="295" spans="1:18" x14ac:dyDescent="0.25">
      <c r="A295" s="2" t="s">
        <v>25</v>
      </c>
      <c r="B295" s="2">
        <v>2046</v>
      </c>
      <c r="C295" s="3">
        <v>44176</v>
      </c>
      <c r="D295" s="2" t="str">
        <f>"004079050931"</f>
        <v>004079050931</v>
      </c>
      <c r="E295" s="3">
        <v>44170</v>
      </c>
      <c r="F295" s="2">
        <v>0</v>
      </c>
      <c r="G295" s="2">
        <v>0</v>
      </c>
      <c r="H295" s="3">
        <v>44177</v>
      </c>
      <c r="I295" s="3">
        <v>44207</v>
      </c>
      <c r="J295" s="2" t="s">
        <v>17</v>
      </c>
      <c r="K295" s="2">
        <v>233.97</v>
      </c>
      <c r="L295" s="2">
        <v>42.19</v>
      </c>
      <c r="M295" s="2">
        <v>191.78</v>
      </c>
      <c r="N295" s="2">
        <v>-30</v>
      </c>
      <c r="O295" s="4">
        <f t="shared" si="4"/>
        <v>-5753.4</v>
      </c>
      <c r="R295" s="1" t="s">
        <v>26</v>
      </c>
    </row>
    <row r="296" spans="1:18" x14ac:dyDescent="0.25">
      <c r="A296" s="2" t="s">
        <v>25</v>
      </c>
      <c r="B296" s="2">
        <v>2067</v>
      </c>
      <c r="C296" s="3">
        <v>44176</v>
      </c>
      <c r="D296" s="2" t="str">
        <f>"004079050949"</f>
        <v>004079050949</v>
      </c>
      <c r="E296" s="3">
        <v>44170</v>
      </c>
      <c r="F296" s="2">
        <v>0</v>
      </c>
      <c r="G296" s="2">
        <v>0</v>
      </c>
      <c r="H296" s="3">
        <v>44177</v>
      </c>
      <c r="I296" s="3">
        <v>44207</v>
      </c>
      <c r="J296" s="2" t="s">
        <v>17</v>
      </c>
      <c r="K296" s="2">
        <v>194.37</v>
      </c>
      <c r="L296" s="2">
        <v>35.049999999999997</v>
      </c>
      <c r="M296" s="2">
        <v>159.32</v>
      </c>
      <c r="N296" s="2">
        <v>-30</v>
      </c>
      <c r="O296" s="4">
        <f t="shared" si="4"/>
        <v>-4779.5999999999995</v>
      </c>
      <c r="R296" s="1" t="s">
        <v>26</v>
      </c>
    </row>
    <row r="297" spans="1:18" x14ac:dyDescent="0.25">
      <c r="A297" s="2" t="s">
        <v>25</v>
      </c>
      <c r="B297" s="2">
        <v>2058</v>
      </c>
      <c r="C297" s="3">
        <v>44176</v>
      </c>
      <c r="D297" s="2" t="str">
        <f>"004079050932"</f>
        <v>004079050932</v>
      </c>
      <c r="E297" s="3">
        <v>44170</v>
      </c>
      <c r="F297" s="2">
        <v>0</v>
      </c>
      <c r="G297" s="2">
        <v>0</v>
      </c>
      <c r="H297" s="3">
        <v>44177</v>
      </c>
      <c r="I297" s="3">
        <v>44207</v>
      </c>
      <c r="J297" s="2" t="s">
        <v>17</v>
      </c>
      <c r="K297" s="2">
        <v>104.87</v>
      </c>
      <c r="L297" s="2">
        <v>18.91</v>
      </c>
      <c r="M297" s="2">
        <v>85.96</v>
      </c>
      <c r="N297" s="2">
        <v>-30</v>
      </c>
      <c r="O297" s="4">
        <f t="shared" si="4"/>
        <v>-2578.7999999999997</v>
      </c>
      <c r="R297" s="1" t="s">
        <v>26</v>
      </c>
    </row>
    <row r="298" spans="1:18" x14ac:dyDescent="0.25">
      <c r="A298" s="2" t="s">
        <v>25</v>
      </c>
      <c r="B298" s="2">
        <v>2068</v>
      </c>
      <c r="C298" s="3">
        <v>44176</v>
      </c>
      <c r="D298" s="2" t="str">
        <f>"004079050946"</f>
        <v>004079050946</v>
      </c>
      <c r="E298" s="3">
        <v>44170</v>
      </c>
      <c r="F298" s="2">
        <v>0</v>
      </c>
      <c r="G298" s="2">
        <v>0</v>
      </c>
      <c r="H298" s="3">
        <v>44177</v>
      </c>
      <c r="I298" s="3">
        <v>44207</v>
      </c>
      <c r="J298" s="2" t="s">
        <v>17</v>
      </c>
      <c r="K298" s="2">
        <v>350.7</v>
      </c>
      <c r="L298" s="2">
        <v>63.24</v>
      </c>
      <c r="M298" s="2">
        <v>287.45999999999998</v>
      </c>
      <c r="N298" s="2">
        <v>-30</v>
      </c>
      <c r="O298" s="4">
        <f t="shared" si="4"/>
        <v>-8623.7999999999993</v>
      </c>
      <c r="R298" s="1" t="s">
        <v>26</v>
      </c>
    </row>
    <row r="299" spans="1:18" x14ac:dyDescent="0.25">
      <c r="A299" s="2" t="s">
        <v>25</v>
      </c>
      <c r="B299" s="2">
        <v>2055</v>
      </c>
      <c r="C299" s="3">
        <v>44176</v>
      </c>
      <c r="D299" s="2" t="str">
        <f>"004079050933"</f>
        <v>004079050933</v>
      </c>
      <c r="E299" s="3">
        <v>44170</v>
      </c>
      <c r="F299" s="2">
        <v>0</v>
      </c>
      <c r="G299" s="2">
        <v>0</v>
      </c>
      <c r="H299" s="3">
        <v>44177</v>
      </c>
      <c r="I299" s="3">
        <v>44207</v>
      </c>
      <c r="J299" s="2" t="s">
        <v>17</v>
      </c>
      <c r="K299" s="2">
        <v>881.33</v>
      </c>
      <c r="L299" s="2">
        <v>158.93</v>
      </c>
      <c r="M299" s="2">
        <v>722.4</v>
      </c>
      <c r="N299" s="2">
        <v>-30</v>
      </c>
      <c r="O299" s="4">
        <f t="shared" si="4"/>
        <v>-21672</v>
      </c>
      <c r="R299" s="1" t="s">
        <v>26</v>
      </c>
    </row>
    <row r="300" spans="1:18" x14ac:dyDescent="0.25">
      <c r="A300" s="2" t="s">
        <v>25</v>
      </c>
      <c r="B300" s="2">
        <v>2047</v>
      </c>
      <c r="C300" s="3">
        <v>44176</v>
      </c>
      <c r="D300" s="2" t="str">
        <f>"004079050944"</f>
        <v>004079050944</v>
      </c>
      <c r="E300" s="3">
        <v>44170</v>
      </c>
      <c r="F300" s="2">
        <v>0</v>
      </c>
      <c r="G300" s="2">
        <v>0</v>
      </c>
      <c r="H300" s="3">
        <v>44177</v>
      </c>
      <c r="I300" s="3">
        <v>44207</v>
      </c>
      <c r="J300" s="2" t="s">
        <v>17</v>
      </c>
      <c r="K300" s="2">
        <v>103.57</v>
      </c>
      <c r="L300" s="2">
        <v>18.68</v>
      </c>
      <c r="M300" s="2">
        <v>84.89</v>
      </c>
      <c r="N300" s="2">
        <v>-30</v>
      </c>
      <c r="O300" s="4">
        <f t="shared" si="4"/>
        <v>-2546.6999999999998</v>
      </c>
      <c r="R300" s="1" t="s">
        <v>26</v>
      </c>
    </row>
    <row r="301" spans="1:18" x14ac:dyDescent="0.25">
      <c r="A301" s="2" t="s">
        <v>25</v>
      </c>
      <c r="B301" s="2">
        <v>2193</v>
      </c>
      <c r="C301" s="3">
        <v>44183</v>
      </c>
      <c r="D301" s="2" t="str">
        <f>"004085426465"</f>
        <v>004085426465</v>
      </c>
      <c r="E301" s="3">
        <v>44177</v>
      </c>
      <c r="F301" s="2">
        <v>0</v>
      </c>
      <c r="G301" s="2">
        <v>0</v>
      </c>
      <c r="H301" s="3">
        <v>44184</v>
      </c>
      <c r="I301" s="3">
        <v>44214</v>
      </c>
      <c r="J301" s="2" t="s">
        <v>17</v>
      </c>
      <c r="K301" s="2">
        <v>20.73</v>
      </c>
      <c r="L301" s="2">
        <v>3.74</v>
      </c>
      <c r="M301" s="2">
        <v>16.989999999999998</v>
      </c>
      <c r="N301" s="2">
        <v>-30</v>
      </c>
      <c r="O301" s="4">
        <f t="shared" si="4"/>
        <v>-509.69999999999993</v>
      </c>
      <c r="R301" s="1" t="s">
        <v>26</v>
      </c>
    </row>
    <row r="302" spans="1:18" x14ac:dyDescent="0.25">
      <c r="A302" s="2" t="s">
        <v>25</v>
      </c>
      <c r="B302" s="2">
        <v>2066</v>
      </c>
      <c r="C302" s="3">
        <v>44176</v>
      </c>
      <c r="D302" s="2" t="str">
        <f>"004079050928"</f>
        <v>004079050928</v>
      </c>
      <c r="E302" s="3">
        <v>44170</v>
      </c>
      <c r="F302" s="2">
        <v>0</v>
      </c>
      <c r="G302" s="2">
        <v>0</v>
      </c>
      <c r="H302" s="3">
        <v>44177</v>
      </c>
      <c r="I302" s="3">
        <v>44207</v>
      </c>
      <c r="J302" s="2" t="s">
        <v>17</v>
      </c>
      <c r="K302" s="2">
        <v>194.6</v>
      </c>
      <c r="L302" s="2">
        <v>35.090000000000003</v>
      </c>
      <c r="M302" s="2">
        <v>159.51</v>
      </c>
      <c r="N302" s="2">
        <v>-30</v>
      </c>
      <c r="O302" s="4">
        <f t="shared" si="4"/>
        <v>-4785.2999999999993</v>
      </c>
      <c r="R302" s="1" t="s">
        <v>26</v>
      </c>
    </row>
    <row r="303" spans="1:18" x14ac:dyDescent="0.25">
      <c r="A303" s="2" t="s">
        <v>25</v>
      </c>
      <c r="B303" s="2">
        <v>2067</v>
      </c>
      <c r="C303" s="3">
        <v>44176</v>
      </c>
      <c r="D303" s="2" t="str">
        <f>"004079050950"</f>
        <v>004079050950</v>
      </c>
      <c r="E303" s="3">
        <v>44170</v>
      </c>
      <c r="F303" s="2">
        <v>0</v>
      </c>
      <c r="G303" s="2">
        <v>0</v>
      </c>
      <c r="H303" s="3">
        <v>44177</v>
      </c>
      <c r="I303" s="3">
        <v>44207</v>
      </c>
      <c r="J303" s="2" t="s">
        <v>17</v>
      </c>
      <c r="K303" s="2">
        <v>16.07</v>
      </c>
      <c r="L303" s="2">
        <v>2.9</v>
      </c>
      <c r="M303" s="2">
        <v>13.17</v>
      </c>
      <c r="N303" s="2">
        <v>-30</v>
      </c>
      <c r="O303" s="4">
        <f t="shared" si="4"/>
        <v>-395.1</v>
      </c>
      <c r="R303" s="1" t="s">
        <v>26</v>
      </c>
    </row>
    <row r="304" spans="1:18" x14ac:dyDescent="0.25">
      <c r="A304" s="2" t="s">
        <v>25</v>
      </c>
      <c r="B304" s="2">
        <v>2065</v>
      </c>
      <c r="C304" s="3">
        <v>44176</v>
      </c>
      <c r="D304" s="2" t="str">
        <f>"004079050936"</f>
        <v>004079050936</v>
      </c>
      <c r="E304" s="3">
        <v>44170</v>
      </c>
      <c r="F304" s="2">
        <v>0</v>
      </c>
      <c r="G304" s="2">
        <v>0</v>
      </c>
      <c r="H304" s="3">
        <v>44177</v>
      </c>
      <c r="I304" s="3">
        <v>44207</v>
      </c>
      <c r="J304" s="2" t="s">
        <v>17</v>
      </c>
      <c r="K304" s="2">
        <v>18.29</v>
      </c>
      <c r="L304" s="2">
        <v>3.3</v>
      </c>
      <c r="M304" s="2">
        <v>14.99</v>
      </c>
      <c r="N304" s="2">
        <v>-30</v>
      </c>
      <c r="O304" s="4">
        <f t="shared" si="4"/>
        <v>-449.7</v>
      </c>
      <c r="R304" s="1" t="s">
        <v>26</v>
      </c>
    </row>
    <row r="305" spans="1:18" x14ac:dyDescent="0.25">
      <c r="A305" s="2" t="s">
        <v>25</v>
      </c>
      <c r="B305" s="2">
        <v>2068</v>
      </c>
      <c r="C305" s="3">
        <v>44176</v>
      </c>
      <c r="D305" s="2" t="str">
        <f>"004079050945"</f>
        <v>004079050945</v>
      </c>
      <c r="E305" s="3">
        <v>44170</v>
      </c>
      <c r="F305" s="2">
        <v>0</v>
      </c>
      <c r="G305" s="2">
        <v>0</v>
      </c>
      <c r="H305" s="3">
        <v>44177</v>
      </c>
      <c r="I305" s="3">
        <v>44207</v>
      </c>
      <c r="J305" s="2" t="s">
        <v>17</v>
      </c>
      <c r="K305" s="2">
        <v>45.45</v>
      </c>
      <c r="L305" s="2">
        <v>8.1999999999999993</v>
      </c>
      <c r="M305" s="2">
        <v>37.25</v>
      </c>
      <c r="N305" s="2">
        <v>-30</v>
      </c>
      <c r="O305" s="4">
        <f t="shared" si="4"/>
        <v>-1117.5</v>
      </c>
      <c r="R305" s="1" t="s">
        <v>26</v>
      </c>
    </row>
    <row r="306" spans="1:18" x14ac:dyDescent="0.25">
      <c r="A306" s="2" t="s">
        <v>25</v>
      </c>
      <c r="B306" s="2">
        <v>2066</v>
      </c>
      <c r="C306" s="3">
        <v>44176</v>
      </c>
      <c r="D306" s="2" t="str">
        <f>"004079050930"</f>
        <v>004079050930</v>
      </c>
      <c r="E306" s="3">
        <v>44170</v>
      </c>
      <c r="F306" s="2">
        <v>0</v>
      </c>
      <c r="G306" s="2">
        <v>0</v>
      </c>
      <c r="H306" s="3">
        <v>44177</v>
      </c>
      <c r="I306" s="3">
        <v>44207</v>
      </c>
      <c r="J306" s="2" t="s">
        <v>17</v>
      </c>
      <c r="K306" s="2">
        <v>60.52</v>
      </c>
      <c r="L306" s="2">
        <v>10.91</v>
      </c>
      <c r="M306" s="2">
        <v>49.61</v>
      </c>
      <c r="N306" s="2">
        <v>-30</v>
      </c>
      <c r="O306" s="4">
        <f t="shared" si="4"/>
        <v>-1488.3</v>
      </c>
      <c r="R306" s="1" t="s">
        <v>26</v>
      </c>
    </row>
    <row r="307" spans="1:18" x14ac:dyDescent="0.25">
      <c r="A307" s="2" t="s">
        <v>25</v>
      </c>
      <c r="B307" s="2">
        <v>2067</v>
      </c>
      <c r="C307" s="3">
        <v>44176</v>
      </c>
      <c r="D307" s="2" t="str">
        <f>"004079050948"</f>
        <v>004079050948</v>
      </c>
      <c r="E307" s="3">
        <v>44170</v>
      </c>
      <c r="F307" s="2">
        <v>0</v>
      </c>
      <c r="G307" s="2">
        <v>0</v>
      </c>
      <c r="H307" s="3">
        <v>44177</v>
      </c>
      <c r="I307" s="3">
        <v>44207</v>
      </c>
      <c r="J307" s="2" t="s">
        <v>17</v>
      </c>
      <c r="K307" s="2">
        <v>20.94</v>
      </c>
      <c r="L307" s="2">
        <v>3.78</v>
      </c>
      <c r="M307" s="2">
        <v>17.16</v>
      </c>
      <c r="N307" s="2">
        <v>-30</v>
      </c>
      <c r="O307" s="4">
        <f t="shared" si="4"/>
        <v>-514.79999999999995</v>
      </c>
      <c r="R307" s="1" t="s">
        <v>26</v>
      </c>
    </row>
    <row r="308" spans="1:18" x14ac:dyDescent="0.25">
      <c r="A308" s="2" t="s">
        <v>25</v>
      </c>
      <c r="B308" s="2">
        <v>2066</v>
      </c>
      <c r="C308" s="3">
        <v>44176</v>
      </c>
      <c r="D308" s="2" t="str">
        <f>"004079050927"</f>
        <v>004079050927</v>
      </c>
      <c r="E308" s="3">
        <v>44170</v>
      </c>
      <c r="F308" s="2">
        <v>0</v>
      </c>
      <c r="G308" s="2">
        <v>0</v>
      </c>
      <c r="H308" s="3">
        <v>44177</v>
      </c>
      <c r="I308" s="3">
        <v>44207</v>
      </c>
      <c r="J308" s="2" t="s">
        <v>17</v>
      </c>
      <c r="K308" s="2">
        <v>46.82</v>
      </c>
      <c r="L308" s="2">
        <v>8.44</v>
      </c>
      <c r="M308" s="2">
        <v>38.380000000000003</v>
      </c>
      <c r="N308" s="2">
        <v>-30</v>
      </c>
      <c r="O308" s="4">
        <f t="shared" si="4"/>
        <v>-1151.4000000000001</v>
      </c>
      <c r="R308" s="1" t="s">
        <v>26</v>
      </c>
    </row>
    <row r="309" spans="1:18" x14ac:dyDescent="0.25">
      <c r="A309" s="2" t="s">
        <v>25</v>
      </c>
      <c r="B309" s="2">
        <v>2059</v>
      </c>
      <c r="C309" s="3">
        <v>44176</v>
      </c>
      <c r="D309" s="2" t="str">
        <f>"004079050943"</f>
        <v>004079050943</v>
      </c>
      <c r="E309" s="3">
        <v>44170</v>
      </c>
      <c r="F309" s="2">
        <v>0</v>
      </c>
      <c r="G309" s="2">
        <v>0</v>
      </c>
      <c r="H309" s="3">
        <v>44177</v>
      </c>
      <c r="I309" s="3">
        <v>44207</v>
      </c>
      <c r="J309" s="2" t="s">
        <v>17</v>
      </c>
      <c r="K309" s="2">
        <v>209.73</v>
      </c>
      <c r="L309" s="2">
        <v>37.82</v>
      </c>
      <c r="M309" s="2">
        <v>171.91</v>
      </c>
      <c r="N309" s="2">
        <v>-30</v>
      </c>
      <c r="O309" s="4">
        <f t="shared" si="4"/>
        <v>-5157.3</v>
      </c>
      <c r="R309" s="1" t="s">
        <v>26</v>
      </c>
    </row>
    <row r="310" spans="1:18" x14ac:dyDescent="0.25">
      <c r="A310" s="2" t="s">
        <v>25</v>
      </c>
      <c r="B310" s="2">
        <v>2065</v>
      </c>
      <c r="C310" s="3">
        <v>44176</v>
      </c>
      <c r="D310" s="2" t="str">
        <f>"004079050939"</f>
        <v>004079050939</v>
      </c>
      <c r="E310" s="3">
        <v>44170</v>
      </c>
      <c r="F310" s="2">
        <v>0</v>
      </c>
      <c r="G310" s="2">
        <v>0</v>
      </c>
      <c r="H310" s="3">
        <v>44177</v>
      </c>
      <c r="I310" s="3">
        <v>44207</v>
      </c>
      <c r="J310" s="2" t="s">
        <v>17</v>
      </c>
      <c r="K310" s="2">
        <v>36.99</v>
      </c>
      <c r="L310" s="2">
        <v>6.67</v>
      </c>
      <c r="M310" s="2">
        <v>30.32</v>
      </c>
      <c r="N310" s="2">
        <v>-30</v>
      </c>
      <c r="O310" s="4">
        <f t="shared" si="4"/>
        <v>-909.6</v>
      </c>
      <c r="R310" s="1" t="s">
        <v>26</v>
      </c>
    </row>
    <row r="311" spans="1:18" x14ac:dyDescent="0.25">
      <c r="A311" s="2" t="s">
        <v>25</v>
      </c>
      <c r="B311" s="2">
        <v>2064</v>
      </c>
      <c r="C311" s="3">
        <v>44176</v>
      </c>
      <c r="D311" s="2" t="str">
        <f>"004079050940"</f>
        <v>004079050940</v>
      </c>
      <c r="E311" s="3">
        <v>44170</v>
      </c>
      <c r="F311" s="2">
        <v>0</v>
      </c>
      <c r="G311" s="2">
        <v>0</v>
      </c>
      <c r="H311" s="3">
        <v>44177</v>
      </c>
      <c r="I311" s="3">
        <v>44207</v>
      </c>
      <c r="J311" s="2" t="s">
        <v>17</v>
      </c>
      <c r="K311" s="2">
        <v>420.77</v>
      </c>
      <c r="L311" s="2">
        <v>75.88</v>
      </c>
      <c r="M311" s="2">
        <v>344.89</v>
      </c>
      <c r="N311" s="2">
        <v>-30</v>
      </c>
      <c r="O311" s="4">
        <f t="shared" si="4"/>
        <v>-10346.699999999999</v>
      </c>
      <c r="R311" s="1" t="s">
        <v>26</v>
      </c>
    </row>
    <row r="312" spans="1:18" x14ac:dyDescent="0.25">
      <c r="A312" s="2" t="s">
        <v>150</v>
      </c>
      <c r="B312" s="2">
        <v>1802</v>
      </c>
      <c r="C312" s="3">
        <v>44135</v>
      </c>
      <c r="D312" s="2" t="s">
        <v>151</v>
      </c>
      <c r="E312" s="3">
        <v>44128</v>
      </c>
      <c r="F312" s="2">
        <v>0</v>
      </c>
      <c r="G312" s="2">
        <v>0</v>
      </c>
      <c r="H312" s="3">
        <v>44135</v>
      </c>
      <c r="I312" s="3">
        <v>44165</v>
      </c>
      <c r="J312" s="2" t="s">
        <v>17</v>
      </c>
      <c r="K312" s="2">
        <v>610</v>
      </c>
      <c r="L312" s="2">
        <v>110</v>
      </c>
      <c r="M312" s="2">
        <v>500</v>
      </c>
      <c r="N312" s="2">
        <v>-30</v>
      </c>
      <c r="O312" s="4">
        <f t="shared" si="4"/>
        <v>-15000</v>
      </c>
      <c r="R312" s="1" t="s">
        <v>75</v>
      </c>
    </row>
    <row r="313" spans="1:18" x14ac:dyDescent="0.25">
      <c r="A313" s="2" t="s">
        <v>134</v>
      </c>
      <c r="B313" s="2">
        <v>1836</v>
      </c>
      <c r="C313" s="3">
        <v>44147</v>
      </c>
      <c r="D313" s="2" t="str">
        <f>"136681"</f>
        <v>136681</v>
      </c>
      <c r="E313" s="3">
        <v>44135</v>
      </c>
      <c r="F313" s="2">
        <v>0</v>
      </c>
      <c r="G313" s="2">
        <v>0</v>
      </c>
      <c r="H313" s="3">
        <v>44149</v>
      </c>
      <c r="I313" s="3">
        <v>44180</v>
      </c>
      <c r="J313" s="2" t="s">
        <v>17</v>
      </c>
      <c r="K313" s="2">
        <v>450.42</v>
      </c>
      <c r="L313" s="2">
        <v>81.22</v>
      </c>
      <c r="M313" s="2">
        <v>369.2</v>
      </c>
      <c r="N313" s="2">
        <v>-31</v>
      </c>
      <c r="O313" s="4">
        <f t="shared" si="4"/>
        <v>-11445.199999999999</v>
      </c>
      <c r="R313" s="1" t="s">
        <v>20</v>
      </c>
    </row>
    <row r="314" spans="1:18" x14ac:dyDescent="0.25">
      <c r="A314" s="2" t="s">
        <v>134</v>
      </c>
      <c r="B314" s="2">
        <v>1837</v>
      </c>
      <c r="C314" s="3">
        <v>44147</v>
      </c>
      <c r="D314" s="2" t="str">
        <f>"136683"</f>
        <v>136683</v>
      </c>
      <c r="E314" s="3">
        <v>44135</v>
      </c>
      <c r="F314" s="2">
        <v>0</v>
      </c>
      <c r="G314" s="2">
        <v>0</v>
      </c>
      <c r="H314" s="3">
        <v>44149</v>
      </c>
      <c r="I314" s="3">
        <v>44180</v>
      </c>
      <c r="J314" s="2" t="s">
        <v>17</v>
      </c>
      <c r="K314" s="2">
        <v>83.19</v>
      </c>
      <c r="L314" s="2">
        <v>15</v>
      </c>
      <c r="M314" s="2">
        <v>68.19</v>
      </c>
      <c r="N314" s="2">
        <v>-31</v>
      </c>
      <c r="O314" s="4">
        <f t="shared" si="4"/>
        <v>-2113.89</v>
      </c>
      <c r="R314" s="1" t="s">
        <v>20</v>
      </c>
    </row>
    <row r="315" spans="1:18" x14ac:dyDescent="0.25">
      <c r="A315" s="2" t="s">
        <v>134</v>
      </c>
      <c r="B315" s="2">
        <v>1840</v>
      </c>
      <c r="C315" s="3">
        <v>44147</v>
      </c>
      <c r="D315" s="2" t="str">
        <f>"136682"</f>
        <v>136682</v>
      </c>
      <c r="E315" s="3">
        <v>44135</v>
      </c>
      <c r="F315" s="2">
        <v>0</v>
      </c>
      <c r="G315" s="2">
        <v>0</v>
      </c>
      <c r="H315" s="3">
        <v>44149</v>
      </c>
      <c r="I315" s="3">
        <v>44180</v>
      </c>
      <c r="J315" s="2" t="s">
        <v>17</v>
      </c>
      <c r="K315" s="2">
        <v>247.42</v>
      </c>
      <c r="L315" s="2">
        <v>44.62</v>
      </c>
      <c r="M315" s="2">
        <v>202.8</v>
      </c>
      <c r="N315" s="2">
        <v>-31</v>
      </c>
      <c r="O315" s="4">
        <f t="shared" si="4"/>
        <v>-6286.8</v>
      </c>
      <c r="R315" s="1" t="s">
        <v>20</v>
      </c>
    </row>
    <row r="316" spans="1:18" x14ac:dyDescent="0.25">
      <c r="A316" s="2" t="s">
        <v>134</v>
      </c>
      <c r="B316" s="2">
        <v>1836</v>
      </c>
      <c r="C316" s="3">
        <v>44147</v>
      </c>
      <c r="D316" s="2" t="str">
        <f>"136685"</f>
        <v>136685</v>
      </c>
      <c r="E316" s="3">
        <v>44135</v>
      </c>
      <c r="F316" s="2">
        <v>0</v>
      </c>
      <c r="G316" s="2">
        <v>0</v>
      </c>
      <c r="H316" s="3">
        <v>44149</v>
      </c>
      <c r="I316" s="3">
        <v>44180</v>
      </c>
      <c r="J316" s="2" t="s">
        <v>17</v>
      </c>
      <c r="K316" s="2">
        <v>95.73</v>
      </c>
      <c r="L316" s="2">
        <v>17.260000000000002</v>
      </c>
      <c r="M316" s="2">
        <v>78.47</v>
      </c>
      <c r="N316" s="2">
        <v>-31</v>
      </c>
      <c r="O316" s="4">
        <f t="shared" si="4"/>
        <v>-2432.5700000000002</v>
      </c>
      <c r="R316" s="1" t="s">
        <v>20</v>
      </c>
    </row>
    <row r="317" spans="1:18" x14ac:dyDescent="0.25">
      <c r="A317" s="2" t="s">
        <v>134</v>
      </c>
      <c r="B317" s="2">
        <v>1839</v>
      </c>
      <c r="C317" s="3">
        <v>44147</v>
      </c>
      <c r="D317" s="2" t="str">
        <f>"136680"</f>
        <v>136680</v>
      </c>
      <c r="E317" s="3">
        <v>44135</v>
      </c>
      <c r="F317" s="2">
        <v>0</v>
      </c>
      <c r="G317" s="2">
        <v>0</v>
      </c>
      <c r="H317" s="3">
        <v>44149</v>
      </c>
      <c r="I317" s="3">
        <v>44180</v>
      </c>
      <c r="J317" s="2" t="s">
        <v>17</v>
      </c>
      <c r="K317" s="2">
        <v>79.97</v>
      </c>
      <c r="L317" s="2">
        <v>14.42</v>
      </c>
      <c r="M317" s="2">
        <v>65.55</v>
      </c>
      <c r="N317" s="2">
        <v>-31</v>
      </c>
      <c r="O317" s="4">
        <f t="shared" si="4"/>
        <v>-2032.05</v>
      </c>
      <c r="R317" s="1" t="s">
        <v>20</v>
      </c>
    </row>
    <row r="318" spans="1:18" x14ac:dyDescent="0.25">
      <c r="A318" s="2" t="s">
        <v>134</v>
      </c>
      <c r="B318" s="2">
        <v>1836</v>
      </c>
      <c r="C318" s="3">
        <v>44147</v>
      </c>
      <c r="D318" s="2" t="str">
        <f>"136684"</f>
        <v>136684</v>
      </c>
      <c r="E318" s="3">
        <v>44135</v>
      </c>
      <c r="F318" s="2">
        <v>0</v>
      </c>
      <c r="G318" s="2">
        <v>0</v>
      </c>
      <c r="H318" s="3">
        <v>44149</v>
      </c>
      <c r="I318" s="3">
        <v>44180</v>
      </c>
      <c r="J318" s="2" t="s">
        <v>17</v>
      </c>
      <c r="K318" s="2">
        <v>40.659999999999997</v>
      </c>
      <c r="L318" s="2">
        <v>7.33</v>
      </c>
      <c r="M318" s="2">
        <v>33.33</v>
      </c>
      <c r="N318" s="2">
        <v>-31</v>
      </c>
      <c r="O318" s="4">
        <f t="shared" si="4"/>
        <v>-1033.23</v>
      </c>
      <c r="R318" s="1" t="s">
        <v>20</v>
      </c>
    </row>
    <row r="319" spans="1:18" x14ac:dyDescent="0.25">
      <c r="A319" s="2" t="s">
        <v>134</v>
      </c>
      <c r="B319" s="2">
        <v>1843</v>
      </c>
      <c r="C319" s="3">
        <v>44147</v>
      </c>
      <c r="D319" s="2" t="str">
        <f>"136686"</f>
        <v>136686</v>
      </c>
      <c r="E319" s="3">
        <v>44135</v>
      </c>
      <c r="F319" s="2">
        <v>0</v>
      </c>
      <c r="G319" s="2">
        <v>0</v>
      </c>
      <c r="H319" s="3">
        <v>44149</v>
      </c>
      <c r="I319" s="3">
        <v>44180</v>
      </c>
      <c r="J319" s="2" t="s">
        <v>17</v>
      </c>
      <c r="K319" s="2">
        <v>79.13</v>
      </c>
      <c r="L319" s="2">
        <v>14.27</v>
      </c>
      <c r="M319" s="2">
        <v>64.86</v>
      </c>
      <c r="N319" s="2">
        <v>-31</v>
      </c>
      <c r="O319" s="4">
        <f t="shared" si="4"/>
        <v>-2010.66</v>
      </c>
      <c r="R319" s="1" t="s">
        <v>20</v>
      </c>
    </row>
    <row r="320" spans="1:18" x14ac:dyDescent="0.25">
      <c r="A320" s="2" t="s">
        <v>134</v>
      </c>
      <c r="B320" s="2">
        <v>1841</v>
      </c>
      <c r="C320" s="3">
        <v>44147</v>
      </c>
      <c r="D320" s="2" t="str">
        <f>"136687"</f>
        <v>136687</v>
      </c>
      <c r="E320" s="3">
        <v>44135</v>
      </c>
      <c r="F320" s="2">
        <v>0</v>
      </c>
      <c r="G320" s="2">
        <v>0</v>
      </c>
      <c r="H320" s="3">
        <v>44149</v>
      </c>
      <c r="I320" s="3">
        <v>44180</v>
      </c>
      <c r="J320" s="2" t="s">
        <v>17</v>
      </c>
      <c r="K320" s="2">
        <v>77.209999999999994</v>
      </c>
      <c r="L320" s="2">
        <v>13.92</v>
      </c>
      <c r="M320" s="2">
        <v>63.29</v>
      </c>
      <c r="N320" s="2">
        <v>-31</v>
      </c>
      <c r="O320" s="4">
        <f t="shared" si="4"/>
        <v>-1961.99</v>
      </c>
      <c r="R320" s="1" t="s">
        <v>20</v>
      </c>
    </row>
    <row r="321" spans="1:18" ht="24" x14ac:dyDescent="0.25">
      <c r="A321" s="2" t="s">
        <v>152</v>
      </c>
      <c r="B321" s="2">
        <v>2020</v>
      </c>
      <c r="C321" s="3">
        <v>44165</v>
      </c>
      <c r="D321" s="2" t="s">
        <v>153</v>
      </c>
      <c r="E321" s="3">
        <v>44155</v>
      </c>
      <c r="F321" s="2">
        <v>0</v>
      </c>
      <c r="G321" s="2">
        <v>0</v>
      </c>
      <c r="H321" s="3">
        <v>44165</v>
      </c>
      <c r="I321" s="3">
        <v>44196</v>
      </c>
      <c r="J321" s="2" t="s">
        <v>17</v>
      </c>
      <c r="K321" s="4">
        <v>11661.28</v>
      </c>
      <c r="L321" s="4">
        <v>1060.1199999999999</v>
      </c>
      <c r="M321" s="4">
        <v>10601.16</v>
      </c>
      <c r="N321" s="2">
        <v>-31</v>
      </c>
      <c r="O321" s="4">
        <f t="shared" si="4"/>
        <v>-328635.96000000002</v>
      </c>
      <c r="R321" s="1" t="s">
        <v>154</v>
      </c>
    </row>
    <row r="322" spans="1:18" x14ac:dyDescent="0.25">
      <c r="A322" s="2" t="s">
        <v>155</v>
      </c>
      <c r="B322" s="2">
        <v>1999</v>
      </c>
      <c r="C322" s="3">
        <v>44163</v>
      </c>
      <c r="D322" s="2" t="s">
        <v>156</v>
      </c>
      <c r="E322" s="3">
        <v>44158</v>
      </c>
      <c r="F322" s="2">
        <v>0</v>
      </c>
      <c r="G322" s="2">
        <v>0</v>
      </c>
      <c r="H322" s="3">
        <v>44163</v>
      </c>
      <c r="I322" s="3">
        <v>44196</v>
      </c>
      <c r="J322" s="2" t="s">
        <v>17</v>
      </c>
      <c r="K322" s="2">
        <v>610</v>
      </c>
      <c r="L322" s="2">
        <v>110</v>
      </c>
      <c r="M322" s="2">
        <v>500</v>
      </c>
      <c r="N322" s="2">
        <v>-33</v>
      </c>
      <c r="O322" s="4">
        <f t="shared" si="4"/>
        <v>-16500</v>
      </c>
      <c r="R322" s="1" t="s">
        <v>157</v>
      </c>
    </row>
    <row r="323" spans="1:18" ht="24" x14ac:dyDescent="0.25">
      <c r="A323" s="2" t="s">
        <v>158</v>
      </c>
      <c r="B323" s="2">
        <v>2057</v>
      </c>
      <c r="C323" s="3">
        <v>44176</v>
      </c>
      <c r="D323" s="2" t="s">
        <v>159</v>
      </c>
      <c r="E323" s="3">
        <v>44175</v>
      </c>
      <c r="F323" s="2">
        <v>0</v>
      </c>
      <c r="G323" s="2">
        <v>0</v>
      </c>
      <c r="H323" s="3">
        <v>44177</v>
      </c>
      <c r="I323" s="3">
        <v>44211</v>
      </c>
      <c r="J323" s="2" t="s">
        <v>17</v>
      </c>
      <c r="K323" s="4">
        <v>3782</v>
      </c>
      <c r="L323" s="2">
        <v>682</v>
      </c>
      <c r="M323" s="4">
        <v>3100</v>
      </c>
      <c r="N323" s="2">
        <v>-34</v>
      </c>
      <c r="O323" s="4">
        <f t="shared" ref="O323:O386" si="5">+M323*N323</f>
        <v>-105400</v>
      </c>
      <c r="R323" s="1" t="s">
        <v>119</v>
      </c>
    </row>
    <row r="324" spans="1:18" x14ac:dyDescent="0.25">
      <c r="A324" s="2" t="s">
        <v>23</v>
      </c>
      <c r="B324" s="2">
        <v>2027</v>
      </c>
      <c r="C324" s="3">
        <v>44169</v>
      </c>
      <c r="D324" s="2" t="str">
        <f>"20229"</f>
        <v>20229</v>
      </c>
      <c r="E324" s="3">
        <v>44146</v>
      </c>
      <c r="F324" s="2">
        <v>0</v>
      </c>
      <c r="G324" s="2">
        <v>0</v>
      </c>
      <c r="H324" s="3">
        <v>44170</v>
      </c>
      <c r="I324" s="3">
        <v>44206</v>
      </c>
      <c r="J324" s="2" t="s">
        <v>17</v>
      </c>
      <c r="K324" s="4">
        <v>5781.06</v>
      </c>
      <c r="L324" s="4">
        <v>1042.49</v>
      </c>
      <c r="M324" s="4">
        <v>4738.57</v>
      </c>
      <c r="N324" s="2">
        <v>-36</v>
      </c>
      <c r="O324" s="4">
        <f t="shared" si="5"/>
        <v>-170588.52</v>
      </c>
      <c r="R324" s="1" t="s">
        <v>24</v>
      </c>
    </row>
    <row r="325" spans="1:18" x14ac:dyDescent="0.25">
      <c r="A325" s="2" t="s">
        <v>23</v>
      </c>
      <c r="B325" s="2">
        <v>2028</v>
      </c>
      <c r="C325" s="3">
        <v>44169</v>
      </c>
      <c r="D325" s="2" t="str">
        <f>"20230"</f>
        <v>20230</v>
      </c>
      <c r="E325" s="3">
        <v>44146</v>
      </c>
      <c r="F325" s="2">
        <v>0</v>
      </c>
      <c r="G325" s="2">
        <v>0</v>
      </c>
      <c r="H325" s="3">
        <v>44170</v>
      </c>
      <c r="I325" s="3">
        <v>44206</v>
      </c>
      <c r="J325" s="2" t="s">
        <v>17</v>
      </c>
      <c r="K325" s="2">
        <v>159.26</v>
      </c>
      <c r="L325" s="2">
        <v>28.72</v>
      </c>
      <c r="M325" s="2">
        <v>130.54</v>
      </c>
      <c r="N325" s="2">
        <v>-36</v>
      </c>
      <c r="O325" s="4">
        <f t="shared" si="5"/>
        <v>-4699.4399999999996</v>
      </c>
      <c r="R325" s="1" t="s">
        <v>24</v>
      </c>
    </row>
    <row r="326" spans="1:18" x14ac:dyDescent="0.25">
      <c r="A326" s="2" t="s">
        <v>160</v>
      </c>
      <c r="B326" s="2">
        <v>2037</v>
      </c>
      <c r="C326" s="3">
        <v>44169</v>
      </c>
      <c r="D326" s="2" t="s">
        <v>161</v>
      </c>
      <c r="E326" s="3">
        <v>44161</v>
      </c>
      <c r="F326" s="2">
        <v>0</v>
      </c>
      <c r="G326" s="2">
        <v>0</v>
      </c>
      <c r="H326" s="3">
        <v>44170</v>
      </c>
      <c r="I326" s="3">
        <v>44206</v>
      </c>
      <c r="J326" s="2" t="s">
        <v>17</v>
      </c>
      <c r="K326" s="4">
        <v>6535.08</v>
      </c>
      <c r="L326" s="4">
        <v>1178.46</v>
      </c>
      <c r="M326" s="4">
        <v>5356.62</v>
      </c>
      <c r="N326" s="2">
        <v>-36</v>
      </c>
      <c r="O326" s="4">
        <f t="shared" si="5"/>
        <v>-192838.32</v>
      </c>
      <c r="R326" s="1" t="s">
        <v>24</v>
      </c>
    </row>
    <row r="327" spans="1:18" ht="24" x14ac:dyDescent="0.25">
      <c r="A327" s="2" t="s">
        <v>57</v>
      </c>
      <c r="B327" s="2">
        <v>1626</v>
      </c>
      <c r="C327" s="3">
        <v>44113</v>
      </c>
      <c r="D327" s="2" t="str">
        <f>"0350120200800820900"</f>
        <v>0350120200800820900</v>
      </c>
      <c r="E327" s="3">
        <v>44088</v>
      </c>
      <c r="F327" s="2">
        <v>0</v>
      </c>
      <c r="G327" s="2">
        <v>0</v>
      </c>
      <c r="H327" s="3">
        <v>44114</v>
      </c>
      <c r="I327" s="3">
        <v>44151</v>
      </c>
      <c r="J327" s="2" t="s">
        <v>17</v>
      </c>
      <c r="K327" s="2">
        <v>272</v>
      </c>
      <c r="L327" s="2">
        <v>24.73</v>
      </c>
      <c r="M327" s="2">
        <v>247.27</v>
      </c>
      <c r="N327" s="2">
        <v>-37</v>
      </c>
      <c r="O327" s="4">
        <f t="shared" si="5"/>
        <v>-9148.99</v>
      </c>
      <c r="R327" s="1" t="s">
        <v>54</v>
      </c>
    </row>
    <row r="328" spans="1:18" x14ac:dyDescent="0.25">
      <c r="A328" s="2" t="s">
        <v>162</v>
      </c>
      <c r="B328" s="2">
        <v>1766</v>
      </c>
      <c r="C328" s="3">
        <v>44128</v>
      </c>
      <c r="D328" s="2" t="s">
        <v>163</v>
      </c>
      <c r="E328" s="3">
        <v>44121</v>
      </c>
      <c r="F328" s="2">
        <v>0</v>
      </c>
      <c r="G328" s="2">
        <v>0</v>
      </c>
      <c r="H328" s="3">
        <v>44128</v>
      </c>
      <c r="I328" s="3">
        <v>44165</v>
      </c>
      <c r="J328" s="2" t="s">
        <v>17</v>
      </c>
      <c r="K328" s="4">
        <v>4026</v>
      </c>
      <c r="L328" s="2">
        <v>726</v>
      </c>
      <c r="M328" s="4">
        <v>3300</v>
      </c>
      <c r="N328" s="2">
        <v>-37</v>
      </c>
      <c r="O328" s="4">
        <f t="shared" si="5"/>
        <v>-122100</v>
      </c>
      <c r="R328" s="1" t="s">
        <v>164</v>
      </c>
    </row>
    <row r="329" spans="1:18" x14ac:dyDescent="0.25">
      <c r="A329" s="2" t="s">
        <v>162</v>
      </c>
      <c r="B329" s="2">
        <v>1767</v>
      </c>
      <c r="C329" s="3">
        <v>44128</v>
      </c>
      <c r="D329" s="2" t="s">
        <v>165</v>
      </c>
      <c r="E329" s="3">
        <v>44121</v>
      </c>
      <c r="F329" s="2">
        <v>0</v>
      </c>
      <c r="G329" s="2">
        <v>0</v>
      </c>
      <c r="H329" s="3">
        <v>44128</v>
      </c>
      <c r="I329" s="3">
        <v>44165</v>
      </c>
      <c r="J329" s="2" t="s">
        <v>17</v>
      </c>
      <c r="K329" s="2">
        <v>329.4</v>
      </c>
      <c r="L329" s="2">
        <v>59.4</v>
      </c>
      <c r="M329" s="2">
        <v>270</v>
      </c>
      <c r="N329" s="2">
        <v>-37</v>
      </c>
      <c r="O329" s="4">
        <f t="shared" si="5"/>
        <v>-9990</v>
      </c>
      <c r="R329" s="1" t="s">
        <v>164</v>
      </c>
    </row>
    <row r="330" spans="1:18" ht="24" x14ac:dyDescent="0.25">
      <c r="A330" s="2" t="s">
        <v>57</v>
      </c>
      <c r="B330" s="2">
        <v>1628</v>
      </c>
      <c r="C330" s="3">
        <v>44113</v>
      </c>
      <c r="D330" s="2" t="str">
        <f>"0350120200800871000"</f>
        <v>0350120200800871000</v>
      </c>
      <c r="E330" s="3">
        <v>44092</v>
      </c>
      <c r="F330" s="2">
        <v>0</v>
      </c>
      <c r="G330" s="2">
        <v>0</v>
      </c>
      <c r="H330" s="3">
        <v>44114</v>
      </c>
      <c r="I330" s="3">
        <v>44153</v>
      </c>
      <c r="J330" s="2" t="s">
        <v>17</v>
      </c>
      <c r="K330" s="2">
        <v>25.59</v>
      </c>
      <c r="L330" s="2">
        <v>2.33</v>
      </c>
      <c r="M330" s="2">
        <v>23.26</v>
      </c>
      <c r="N330" s="2">
        <v>-39</v>
      </c>
      <c r="O330" s="4">
        <f t="shared" si="5"/>
        <v>-907.1400000000001</v>
      </c>
      <c r="R330" s="1" t="s">
        <v>54</v>
      </c>
    </row>
    <row r="331" spans="1:18" ht="24" x14ac:dyDescent="0.25">
      <c r="A331" s="2" t="s">
        <v>57</v>
      </c>
      <c r="B331" s="2">
        <v>1622</v>
      </c>
      <c r="C331" s="3">
        <v>44113</v>
      </c>
      <c r="D331" s="2" t="str">
        <f>"0350120200800868700"</f>
        <v>0350120200800868700</v>
      </c>
      <c r="E331" s="3">
        <v>44092</v>
      </c>
      <c r="F331" s="2">
        <v>0</v>
      </c>
      <c r="G331" s="2">
        <v>0</v>
      </c>
      <c r="H331" s="3">
        <v>44114</v>
      </c>
      <c r="I331" s="3">
        <v>44153</v>
      </c>
      <c r="J331" s="2" t="s">
        <v>17</v>
      </c>
      <c r="K331" s="2">
        <v>521.54999999999995</v>
      </c>
      <c r="L331" s="2">
        <v>47.41</v>
      </c>
      <c r="M331" s="2">
        <v>474.14</v>
      </c>
      <c r="N331" s="2">
        <v>-39</v>
      </c>
      <c r="O331" s="4">
        <f t="shared" si="5"/>
        <v>-18491.46</v>
      </c>
      <c r="R331" s="1" t="s">
        <v>54</v>
      </c>
    </row>
    <row r="332" spans="1:18" ht="24" x14ac:dyDescent="0.25">
      <c r="A332" s="2" t="s">
        <v>57</v>
      </c>
      <c r="B332" s="2">
        <v>1626</v>
      </c>
      <c r="C332" s="3">
        <v>44113</v>
      </c>
      <c r="D332" s="2" t="str">
        <f>"0350120200800867400"</f>
        <v>0350120200800867400</v>
      </c>
      <c r="E332" s="3">
        <v>44092</v>
      </c>
      <c r="F332" s="2">
        <v>0</v>
      </c>
      <c r="G332" s="2">
        <v>0</v>
      </c>
      <c r="H332" s="3">
        <v>44114</v>
      </c>
      <c r="I332" s="3">
        <v>44153</v>
      </c>
      <c r="J332" s="2" t="s">
        <v>17</v>
      </c>
      <c r="K332" s="2">
        <v>70.02</v>
      </c>
      <c r="L332" s="2">
        <v>6.37</v>
      </c>
      <c r="M332" s="2">
        <v>63.65</v>
      </c>
      <c r="N332" s="2">
        <v>-39</v>
      </c>
      <c r="O332" s="4">
        <f t="shared" si="5"/>
        <v>-2482.35</v>
      </c>
      <c r="R332" s="1" t="s">
        <v>54</v>
      </c>
    </row>
    <row r="333" spans="1:18" ht="24" x14ac:dyDescent="0.25">
      <c r="A333" s="2" t="s">
        <v>57</v>
      </c>
      <c r="B333" s="2">
        <v>1637</v>
      </c>
      <c r="C333" s="3">
        <v>44113</v>
      </c>
      <c r="D333" s="2" t="str">
        <f>"0350120200800868600"</f>
        <v>0350120200800868600</v>
      </c>
      <c r="E333" s="3">
        <v>44092</v>
      </c>
      <c r="F333" s="2">
        <v>0</v>
      </c>
      <c r="G333" s="2">
        <v>0</v>
      </c>
      <c r="H333" s="3">
        <v>44114</v>
      </c>
      <c r="I333" s="3">
        <v>44153</v>
      </c>
      <c r="J333" s="2" t="s">
        <v>17</v>
      </c>
      <c r="K333" s="2">
        <v>17.059999999999999</v>
      </c>
      <c r="L333" s="2">
        <v>1.55</v>
      </c>
      <c r="M333" s="2">
        <v>15.51</v>
      </c>
      <c r="N333" s="2">
        <v>-39</v>
      </c>
      <c r="O333" s="4">
        <f t="shared" si="5"/>
        <v>-604.89</v>
      </c>
      <c r="R333" s="1" t="s">
        <v>54</v>
      </c>
    </row>
    <row r="334" spans="1:18" ht="24" x14ac:dyDescent="0.25">
      <c r="A334" s="2" t="s">
        <v>57</v>
      </c>
      <c r="B334" s="2">
        <v>1633</v>
      </c>
      <c r="C334" s="3">
        <v>44113</v>
      </c>
      <c r="D334" s="2" t="str">
        <f>"0350120200800867300"</f>
        <v>0350120200800867300</v>
      </c>
      <c r="E334" s="3">
        <v>44092</v>
      </c>
      <c r="F334" s="2">
        <v>0</v>
      </c>
      <c r="G334" s="2">
        <v>0</v>
      </c>
      <c r="H334" s="3">
        <v>44114</v>
      </c>
      <c r="I334" s="3">
        <v>44153</v>
      </c>
      <c r="J334" s="2" t="s">
        <v>17</v>
      </c>
      <c r="K334" s="2">
        <v>56.31</v>
      </c>
      <c r="L334" s="2">
        <v>5.12</v>
      </c>
      <c r="M334" s="2">
        <v>51.19</v>
      </c>
      <c r="N334" s="2">
        <v>-39</v>
      </c>
      <c r="O334" s="4">
        <f t="shared" si="5"/>
        <v>-1996.4099999999999</v>
      </c>
      <c r="R334" s="1" t="s">
        <v>54</v>
      </c>
    </row>
    <row r="335" spans="1:18" ht="24" x14ac:dyDescent="0.25">
      <c r="A335" s="2" t="s">
        <v>57</v>
      </c>
      <c r="B335" s="2">
        <v>1637</v>
      </c>
      <c r="C335" s="3">
        <v>44113</v>
      </c>
      <c r="D335" s="2" t="str">
        <f>"0350120200800867600"</f>
        <v>0350120200800867600</v>
      </c>
      <c r="E335" s="3">
        <v>44092</v>
      </c>
      <c r="F335" s="2">
        <v>0</v>
      </c>
      <c r="G335" s="2">
        <v>0</v>
      </c>
      <c r="H335" s="3">
        <v>44114</v>
      </c>
      <c r="I335" s="3">
        <v>44153</v>
      </c>
      <c r="J335" s="2" t="s">
        <v>17</v>
      </c>
      <c r="K335" s="2">
        <v>10.32</v>
      </c>
      <c r="L335" s="2">
        <v>0.94</v>
      </c>
      <c r="M335" s="2">
        <v>9.3800000000000008</v>
      </c>
      <c r="N335" s="2">
        <v>-39</v>
      </c>
      <c r="O335" s="4">
        <f t="shared" si="5"/>
        <v>-365.82000000000005</v>
      </c>
      <c r="R335" s="1" t="s">
        <v>54</v>
      </c>
    </row>
    <row r="336" spans="1:18" ht="24" x14ac:dyDescent="0.25">
      <c r="A336" s="2" t="s">
        <v>57</v>
      </c>
      <c r="B336" s="2">
        <v>1612</v>
      </c>
      <c r="C336" s="3">
        <v>44113</v>
      </c>
      <c r="D336" s="2" t="str">
        <f>"0350120200800867500"</f>
        <v>0350120200800867500</v>
      </c>
      <c r="E336" s="3">
        <v>44092</v>
      </c>
      <c r="F336" s="2">
        <v>0</v>
      </c>
      <c r="G336" s="2">
        <v>0</v>
      </c>
      <c r="H336" s="3">
        <v>44114</v>
      </c>
      <c r="I336" s="3">
        <v>44153</v>
      </c>
      <c r="J336" s="2" t="s">
        <v>17</v>
      </c>
      <c r="K336" s="2">
        <v>64.64</v>
      </c>
      <c r="L336" s="2">
        <v>5.88</v>
      </c>
      <c r="M336" s="2">
        <v>58.76</v>
      </c>
      <c r="N336" s="2">
        <v>-39</v>
      </c>
      <c r="O336" s="4">
        <f t="shared" si="5"/>
        <v>-2291.64</v>
      </c>
      <c r="R336" s="1" t="s">
        <v>54</v>
      </c>
    </row>
    <row r="337" spans="1:18" ht="24" x14ac:dyDescent="0.25">
      <c r="A337" s="2" t="s">
        <v>57</v>
      </c>
      <c r="B337" s="2">
        <v>1637</v>
      </c>
      <c r="C337" s="3">
        <v>44113</v>
      </c>
      <c r="D337" s="2" t="str">
        <f>"0350120200800868100"</f>
        <v>0350120200800868100</v>
      </c>
      <c r="E337" s="3">
        <v>44092</v>
      </c>
      <c r="F337" s="2">
        <v>0</v>
      </c>
      <c r="G337" s="2">
        <v>0</v>
      </c>
      <c r="H337" s="3">
        <v>44114</v>
      </c>
      <c r="I337" s="3">
        <v>44153</v>
      </c>
      <c r="J337" s="2" t="s">
        <v>17</v>
      </c>
      <c r="K337" s="2">
        <v>17.059999999999999</v>
      </c>
      <c r="L337" s="2">
        <v>1.55</v>
      </c>
      <c r="M337" s="2">
        <v>15.51</v>
      </c>
      <c r="N337" s="2">
        <v>-39</v>
      </c>
      <c r="O337" s="4">
        <f t="shared" si="5"/>
        <v>-604.89</v>
      </c>
      <c r="R337" s="1" t="s">
        <v>54</v>
      </c>
    </row>
    <row r="338" spans="1:18" ht="24" x14ac:dyDescent="0.25">
      <c r="A338" s="2" t="s">
        <v>57</v>
      </c>
      <c r="B338" s="2">
        <v>1637</v>
      </c>
      <c r="C338" s="3">
        <v>44113</v>
      </c>
      <c r="D338" s="2" t="str">
        <f>"0350120200800867700"</f>
        <v>0350120200800867700</v>
      </c>
      <c r="E338" s="3">
        <v>44092</v>
      </c>
      <c r="F338" s="2">
        <v>0</v>
      </c>
      <c r="G338" s="2">
        <v>0</v>
      </c>
      <c r="H338" s="3">
        <v>44114</v>
      </c>
      <c r="I338" s="3">
        <v>44153</v>
      </c>
      <c r="J338" s="2" t="s">
        <v>17</v>
      </c>
      <c r="K338" s="2">
        <v>56.31</v>
      </c>
      <c r="L338" s="2">
        <v>5.12</v>
      </c>
      <c r="M338" s="2">
        <v>51.19</v>
      </c>
      <c r="N338" s="2">
        <v>-39</v>
      </c>
      <c r="O338" s="4">
        <f t="shared" si="5"/>
        <v>-1996.4099999999999</v>
      </c>
      <c r="R338" s="1" t="s">
        <v>54</v>
      </c>
    </row>
    <row r="339" spans="1:18" ht="24" x14ac:dyDescent="0.25">
      <c r="A339" s="2" t="s">
        <v>57</v>
      </c>
      <c r="B339" s="2">
        <v>1631</v>
      </c>
      <c r="C339" s="3">
        <v>44113</v>
      </c>
      <c r="D339" s="2" t="str">
        <f>"0350120200800866800"</f>
        <v>0350120200800866800</v>
      </c>
      <c r="E339" s="3">
        <v>44092</v>
      </c>
      <c r="F339" s="2">
        <v>0</v>
      </c>
      <c r="G339" s="2">
        <v>0</v>
      </c>
      <c r="H339" s="3">
        <v>44114</v>
      </c>
      <c r="I339" s="3">
        <v>44153</v>
      </c>
      <c r="J339" s="2" t="s">
        <v>17</v>
      </c>
      <c r="K339" s="2">
        <v>41.29</v>
      </c>
      <c r="L339" s="2">
        <v>3.75</v>
      </c>
      <c r="M339" s="2">
        <v>37.54</v>
      </c>
      <c r="N339" s="2">
        <v>-39</v>
      </c>
      <c r="O339" s="4">
        <f t="shared" si="5"/>
        <v>-1464.06</v>
      </c>
      <c r="R339" s="1" t="s">
        <v>54</v>
      </c>
    </row>
    <row r="340" spans="1:18" ht="24" x14ac:dyDescent="0.25">
      <c r="A340" s="2" t="s">
        <v>57</v>
      </c>
      <c r="B340" s="2">
        <v>1624</v>
      </c>
      <c r="C340" s="3">
        <v>44113</v>
      </c>
      <c r="D340" s="2" t="str">
        <f>"0350120200800868800"</f>
        <v>0350120200800868800</v>
      </c>
      <c r="E340" s="3">
        <v>44092</v>
      </c>
      <c r="F340" s="2">
        <v>0</v>
      </c>
      <c r="G340" s="2">
        <v>0</v>
      </c>
      <c r="H340" s="3">
        <v>44114</v>
      </c>
      <c r="I340" s="3">
        <v>44153</v>
      </c>
      <c r="J340" s="2" t="s">
        <v>17</v>
      </c>
      <c r="K340" s="2">
        <v>45.33</v>
      </c>
      <c r="L340" s="2">
        <v>4.12</v>
      </c>
      <c r="M340" s="2">
        <v>41.21</v>
      </c>
      <c r="N340" s="2">
        <v>-39</v>
      </c>
      <c r="O340" s="4">
        <f t="shared" si="5"/>
        <v>-1607.19</v>
      </c>
      <c r="R340" s="1" t="s">
        <v>54</v>
      </c>
    </row>
    <row r="341" spans="1:18" ht="24" x14ac:dyDescent="0.25">
      <c r="A341" s="2" t="s">
        <v>57</v>
      </c>
      <c r="B341" s="2">
        <v>1637</v>
      </c>
      <c r="C341" s="3">
        <v>44113</v>
      </c>
      <c r="D341" s="2" t="str">
        <f>"0350120200800868000"</f>
        <v>0350120200800868000</v>
      </c>
      <c r="E341" s="3">
        <v>44092</v>
      </c>
      <c r="F341" s="2">
        <v>0</v>
      </c>
      <c r="G341" s="2">
        <v>0</v>
      </c>
      <c r="H341" s="3">
        <v>44114</v>
      </c>
      <c r="I341" s="3">
        <v>44153</v>
      </c>
      <c r="J341" s="2" t="s">
        <v>17</v>
      </c>
      <c r="K341" s="2">
        <v>48.48</v>
      </c>
      <c r="L341" s="2">
        <v>4.41</v>
      </c>
      <c r="M341" s="2">
        <v>44.07</v>
      </c>
      <c r="N341" s="2">
        <v>-39</v>
      </c>
      <c r="O341" s="4">
        <f t="shared" si="5"/>
        <v>-1718.73</v>
      </c>
      <c r="R341" s="1" t="s">
        <v>54</v>
      </c>
    </row>
    <row r="342" spans="1:18" x14ac:dyDescent="0.25">
      <c r="A342" s="2" t="s">
        <v>166</v>
      </c>
      <c r="B342" s="2">
        <v>1869</v>
      </c>
      <c r="C342" s="3">
        <v>44155</v>
      </c>
      <c r="D342" s="2" t="str">
        <f>"0001162247"</f>
        <v>0001162247</v>
      </c>
      <c r="E342" s="3">
        <v>44135</v>
      </c>
      <c r="F342" s="2">
        <v>0</v>
      </c>
      <c r="G342" s="2">
        <v>0</v>
      </c>
      <c r="H342" s="3">
        <v>44156</v>
      </c>
      <c r="I342" s="3">
        <v>44196</v>
      </c>
      <c r="J342" s="2" t="s">
        <v>17</v>
      </c>
      <c r="K342" s="4">
        <v>2280</v>
      </c>
      <c r="L342" s="2">
        <v>0</v>
      </c>
      <c r="M342" s="4">
        <v>2280</v>
      </c>
      <c r="N342" s="2">
        <v>-40</v>
      </c>
      <c r="O342" s="4">
        <f t="shared" si="5"/>
        <v>-91200</v>
      </c>
      <c r="R342" s="1" t="s">
        <v>167</v>
      </c>
    </row>
    <row r="343" spans="1:18" x14ac:dyDescent="0.25">
      <c r="A343" s="2" t="s">
        <v>166</v>
      </c>
      <c r="B343" s="2">
        <v>1875</v>
      </c>
      <c r="C343" s="3">
        <v>44155</v>
      </c>
      <c r="D343" s="2" t="str">
        <f>"0002141842"</f>
        <v>0002141842</v>
      </c>
      <c r="E343" s="3">
        <v>44135</v>
      </c>
      <c r="F343" s="2">
        <v>0</v>
      </c>
      <c r="G343" s="2">
        <v>0</v>
      </c>
      <c r="H343" s="3">
        <v>44156</v>
      </c>
      <c r="I343" s="3">
        <v>44196</v>
      </c>
      <c r="J343" s="2" t="s">
        <v>17</v>
      </c>
      <c r="K343" s="2">
        <v>489.59</v>
      </c>
      <c r="L343" s="2">
        <v>88.29</v>
      </c>
      <c r="M343" s="2">
        <v>401.3</v>
      </c>
      <c r="N343" s="2">
        <v>-40</v>
      </c>
      <c r="O343" s="4">
        <f t="shared" si="5"/>
        <v>-16052</v>
      </c>
      <c r="R343" s="1" t="s">
        <v>167</v>
      </c>
    </row>
    <row r="344" spans="1:18" x14ac:dyDescent="0.25">
      <c r="A344" s="2" t="s">
        <v>166</v>
      </c>
      <c r="B344" s="2">
        <v>1875</v>
      </c>
      <c r="C344" s="3">
        <v>44155</v>
      </c>
      <c r="D344" s="2" t="str">
        <f>"0002141402"</f>
        <v>0002141402</v>
      </c>
      <c r="E344" s="3">
        <v>44135</v>
      </c>
      <c r="F344" s="2">
        <v>0</v>
      </c>
      <c r="G344" s="2">
        <v>0</v>
      </c>
      <c r="H344" s="3">
        <v>44156</v>
      </c>
      <c r="I344" s="3">
        <v>44196</v>
      </c>
      <c r="J344" s="2" t="s">
        <v>17</v>
      </c>
      <c r="K344" s="4">
        <v>1171.2</v>
      </c>
      <c r="L344" s="2">
        <v>211.2</v>
      </c>
      <c r="M344" s="2">
        <v>960</v>
      </c>
      <c r="N344" s="2">
        <v>-40</v>
      </c>
      <c r="O344" s="4">
        <f t="shared" si="5"/>
        <v>-38400</v>
      </c>
      <c r="R344" s="1" t="s">
        <v>167</v>
      </c>
    </row>
    <row r="345" spans="1:18" x14ac:dyDescent="0.25">
      <c r="A345" s="2" t="s">
        <v>168</v>
      </c>
      <c r="B345" s="2">
        <v>1878</v>
      </c>
      <c r="C345" s="3">
        <v>44155</v>
      </c>
      <c r="D345" s="2" t="str">
        <f>"2020013537"</f>
        <v>2020013537</v>
      </c>
      <c r="E345" s="3">
        <v>44135</v>
      </c>
      <c r="F345" s="2">
        <v>0</v>
      </c>
      <c r="G345" s="2">
        <v>0</v>
      </c>
      <c r="H345" s="3">
        <v>44156</v>
      </c>
      <c r="I345" s="3">
        <v>44196</v>
      </c>
      <c r="J345" s="2" t="s">
        <v>17</v>
      </c>
      <c r="K345" s="4">
        <v>1515</v>
      </c>
      <c r="L345" s="2">
        <v>0</v>
      </c>
      <c r="M345" s="4">
        <v>1515</v>
      </c>
      <c r="N345" s="2">
        <v>-40</v>
      </c>
      <c r="O345" s="4">
        <f t="shared" si="5"/>
        <v>-60600</v>
      </c>
      <c r="R345" s="1" t="s">
        <v>75</v>
      </c>
    </row>
    <row r="346" spans="1:18" x14ac:dyDescent="0.25">
      <c r="A346" s="2" t="s">
        <v>23</v>
      </c>
      <c r="B346" s="2">
        <v>1794</v>
      </c>
      <c r="C346" s="3">
        <v>44135</v>
      </c>
      <c r="D346" s="2" t="str">
        <f>"20209"</f>
        <v>20209</v>
      </c>
      <c r="E346" s="3">
        <v>44117</v>
      </c>
      <c r="F346" s="2">
        <v>0</v>
      </c>
      <c r="G346" s="2">
        <v>0</v>
      </c>
      <c r="H346" s="3">
        <v>44135</v>
      </c>
      <c r="I346" s="3">
        <v>44177</v>
      </c>
      <c r="J346" s="2" t="s">
        <v>17</v>
      </c>
      <c r="K346" s="4">
        <v>2266.09</v>
      </c>
      <c r="L346" s="2">
        <v>408.64</v>
      </c>
      <c r="M346" s="4">
        <v>1857.45</v>
      </c>
      <c r="N346" s="2">
        <v>-42</v>
      </c>
      <c r="O346" s="4">
        <f t="shared" si="5"/>
        <v>-78012.900000000009</v>
      </c>
      <c r="R346" s="1" t="s">
        <v>24</v>
      </c>
    </row>
    <row r="347" spans="1:18" x14ac:dyDescent="0.25">
      <c r="A347" s="2" t="s">
        <v>23</v>
      </c>
      <c r="B347" s="2">
        <v>1795</v>
      </c>
      <c r="C347" s="3">
        <v>44135</v>
      </c>
      <c r="D347" s="2" t="str">
        <f>"20210"</f>
        <v>20210</v>
      </c>
      <c r="E347" s="3">
        <v>44117</v>
      </c>
      <c r="F347" s="2">
        <v>0</v>
      </c>
      <c r="G347" s="2">
        <v>0</v>
      </c>
      <c r="H347" s="3">
        <v>44135</v>
      </c>
      <c r="I347" s="3">
        <v>44177</v>
      </c>
      <c r="J347" s="2" t="s">
        <v>17</v>
      </c>
      <c r="K347" s="2">
        <v>107.95</v>
      </c>
      <c r="L347" s="2">
        <v>19.47</v>
      </c>
      <c r="M347" s="2">
        <v>88.48</v>
      </c>
      <c r="N347" s="2">
        <v>-42</v>
      </c>
      <c r="O347" s="4">
        <f t="shared" si="5"/>
        <v>-3716.1600000000003</v>
      </c>
      <c r="R347" s="1" t="s">
        <v>24</v>
      </c>
    </row>
    <row r="348" spans="1:18" x14ac:dyDescent="0.25">
      <c r="A348" s="2" t="s">
        <v>169</v>
      </c>
      <c r="B348" s="2">
        <v>2208</v>
      </c>
      <c r="C348" s="3">
        <v>44183</v>
      </c>
      <c r="D348" s="2" t="str">
        <f>"211"</f>
        <v>211</v>
      </c>
      <c r="E348" s="3">
        <v>44180</v>
      </c>
      <c r="F348" s="2">
        <v>0</v>
      </c>
      <c r="G348" s="2">
        <v>0</v>
      </c>
      <c r="H348" s="3">
        <v>44184</v>
      </c>
      <c r="I348" s="3">
        <v>44227</v>
      </c>
      <c r="J348" s="2" t="s">
        <v>17</v>
      </c>
      <c r="K348" s="2">
        <v>102.21</v>
      </c>
      <c r="L348" s="2">
        <v>18.43</v>
      </c>
      <c r="M348" s="2">
        <v>83.78</v>
      </c>
      <c r="N348" s="2">
        <v>-43</v>
      </c>
      <c r="O348" s="4">
        <f t="shared" si="5"/>
        <v>-3602.54</v>
      </c>
      <c r="R348" s="1" t="s">
        <v>119</v>
      </c>
    </row>
    <row r="349" spans="1:18" x14ac:dyDescent="0.25">
      <c r="A349" s="2" t="s">
        <v>166</v>
      </c>
      <c r="B349" s="2">
        <v>1667</v>
      </c>
      <c r="C349" s="3">
        <v>44121</v>
      </c>
      <c r="D349" s="2" t="str">
        <f>"0002138087"</f>
        <v>0002138087</v>
      </c>
      <c r="E349" s="3">
        <v>44104</v>
      </c>
      <c r="F349" s="2">
        <v>0</v>
      </c>
      <c r="G349" s="2">
        <v>0</v>
      </c>
      <c r="H349" s="3">
        <v>44121</v>
      </c>
      <c r="I349" s="3">
        <v>44165</v>
      </c>
      <c r="J349" s="2" t="s">
        <v>17</v>
      </c>
      <c r="K349" s="4">
        <v>1210.24</v>
      </c>
      <c r="L349" s="2">
        <v>218.24</v>
      </c>
      <c r="M349" s="2">
        <v>992</v>
      </c>
      <c r="N349" s="2">
        <v>-44</v>
      </c>
      <c r="O349" s="4">
        <f t="shared" si="5"/>
        <v>-43648</v>
      </c>
      <c r="R349" s="1" t="s">
        <v>167</v>
      </c>
    </row>
    <row r="350" spans="1:18" x14ac:dyDescent="0.25">
      <c r="A350" s="2" t="s">
        <v>166</v>
      </c>
      <c r="B350" s="2">
        <v>1667</v>
      </c>
      <c r="C350" s="3">
        <v>44121</v>
      </c>
      <c r="D350" s="2" t="str">
        <f>"0002138513"</f>
        <v>0002138513</v>
      </c>
      <c r="E350" s="3">
        <v>44104</v>
      </c>
      <c r="F350" s="2">
        <v>0</v>
      </c>
      <c r="G350" s="2">
        <v>0</v>
      </c>
      <c r="H350" s="3">
        <v>44121</v>
      </c>
      <c r="I350" s="3">
        <v>44165</v>
      </c>
      <c r="J350" s="2" t="s">
        <v>17</v>
      </c>
      <c r="K350" s="2">
        <v>515.57000000000005</v>
      </c>
      <c r="L350" s="2">
        <v>92.97</v>
      </c>
      <c r="M350" s="2">
        <v>422.6</v>
      </c>
      <c r="N350" s="2">
        <v>-44</v>
      </c>
      <c r="O350" s="4">
        <f t="shared" si="5"/>
        <v>-18594.400000000001</v>
      </c>
      <c r="R350" s="1" t="s">
        <v>167</v>
      </c>
    </row>
    <row r="351" spans="1:18" x14ac:dyDescent="0.25">
      <c r="A351" s="2" t="s">
        <v>166</v>
      </c>
      <c r="B351" s="2">
        <v>1665</v>
      </c>
      <c r="C351" s="3">
        <v>44121</v>
      </c>
      <c r="D351" s="2" t="str">
        <f>"0001156072"</f>
        <v>0001156072</v>
      </c>
      <c r="E351" s="3">
        <v>44104</v>
      </c>
      <c r="F351" s="2">
        <v>0</v>
      </c>
      <c r="G351" s="2">
        <v>0</v>
      </c>
      <c r="H351" s="3">
        <v>44121</v>
      </c>
      <c r="I351" s="3">
        <v>44165</v>
      </c>
      <c r="J351" s="2" t="s">
        <v>17</v>
      </c>
      <c r="K351" s="4">
        <v>2356</v>
      </c>
      <c r="L351" s="2">
        <v>0</v>
      </c>
      <c r="M351" s="4">
        <v>2356</v>
      </c>
      <c r="N351" s="2">
        <v>-44</v>
      </c>
      <c r="O351" s="4">
        <f t="shared" si="5"/>
        <v>-103664</v>
      </c>
      <c r="R351" s="1" t="s">
        <v>167</v>
      </c>
    </row>
    <row r="352" spans="1:18" ht="24" x14ac:dyDescent="0.25">
      <c r="A352" s="2" t="s">
        <v>170</v>
      </c>
      <c r="B352" s="2">
        <v>1671</v>
      </c>
      <c r="C352" s="3">
        <v>44121</v>
      </c>
      <c r="D352" s="2" t="s">
        <v>171</v>
      </c>
      <c r="E352" s="3">
        <v>44104</v>
      </c>
      <c r="F352" s="2">
        <v>0</v>
      </c>
      <c r="G352" s="2">
        <v>0</v>
      </c>
      <c r="H352" s="3">
        <v>44121</v>
      </c>
      <c r="I352" s="3">
        <v>44165</v>
      </c>
      <c r="J352" s="2" t="s">
        <v>17</v>
      </c>
      <c r="K352" s="4">
        <v>5004.49</v>
      </c>
      <c r="L352" s="2">
        <v>454.95</v>
      </c>
      <c r="M352" s="4">
        <v>4549.54</v>
      </c>
      <c r="N352" s="2">
        <v>-44</v>
      </c>
      <c r="O352" s="4">
        <f t="shared" si="5"/>
        <v>-200179.76</v>
      </c>
      <c r="R352" s="1" t="s">
        <v>164</v>
      </c>
    </row>
    <row r="353" spans="1:18" ht="24" x14ac:dyDescent="0.25">
      <c r="A353" s="2" t="s">
        <v>172</v>
      </c>
      <c r="B353" s="2">
        <v>1674</v>
      </c>
      <c r="C353" s="3">
        <v>44121</v>
      </c>
      <c r="D353" s="2" t="s">
        <v>173</v>
      </c>
      <c r="E353" s="3">
        <v>44104</v>
      </c>
      <c r="F353" s="2">
        <v>0</v>
      </c>
      <c r="G353" s="2">
        <v>0</v>
      </c>
      <c r="H353" s="3">
        <v>44121</v>
      </c>
      <c r="I353" s="3">
        <v>44165</v>
      </c>
      <c r="J353" s="2" t="s">
        <v>17</v>
      </c>
      <c r="K353" s="4">
        <v>7679.62</v>
      </c>
      <c r="L353" s="2">
        <v>365.7</v>
      </c>
      <c r="M353" s="4">
        <v>7313.92</v>
      </c>
      <c r="N353" s="2">
        <v>-44</v>
      </c>
      <c r="O353" s="4">
        <f t="shared" si="5"/>
        <v>-321812.47999999998</v>
      </c>
      <c r="R353" s="1" t="s">
        <v>71</v>
      </c>
    </row>
    <row r="354" spans="1:18" x14ac:dyDescent="0.25">
      <c r="A354" s="2" t="s">
        <v>174</v>
      </c>
      <c r="B354" s="2">
        <v>1798</v>
      </c>
      <c r="C354" s="3">
        <v>44135</v>
      </c>
      <c r="D354" s="2" t="str">
        <f>"7400034305"</f>
        <v>7400034305</v>
      </c>
      <c r="E354" s="3">
        <v>44104</v>
      </c>
      <c r="F354" s="2">
        <v>0</v>
      </c>
      <c r="G354" s="2">
        <v>0</v>
      </c>
      <c r="H354" s="3">
        <v>44135</v>
      </c>
      <c r="I354" s="3">
        <v>44179</v>
      </c>
      <c r="J354" s="2" t="s">
        <v>17</v>
      </c>
      <c r="K354" s="4">
        <v>1344.83</v>
      </c>
      <c r="L354" s="2">
        <v>51.72</v>
      </c>
      <c r="M354" s="4">
        <v>1293.1099999999999</v>
      </c>
      <c r="N354" s="2">
        <v>-44</v>
      </c>
      <c r="O354" s="4">
        <f t="shared" si="5"/>
        <v>-56896.84</v>
      </c>
      <c r="R354" s="1" t="s">
        <v>83</v>
      </c>
    </row>
    <row r="355" spans="1:18" x14ac:dyDescent="0.25">
      <c r="A355" s="2" t="s">
        <v>175</v>
      </c>
      <c r="B355" s="2">
        <v>1629</v>
      </c>
      <c r="C355" s="3">
        <v>44113</v>
      </c>
      <c r="D355" s="2" t="s">
        <v>176</v>
      </c>
      <c r="E355" s="3">
        <v>44099</v>
      </c>
      <c r="F355" s="2">
        <v>0</v>
      </c>
      <c r="G355" s="2">
        <v>0</v>
      </c>
      <c r="H355" s="3">
        <v>44114</v>
      </c>
      <c r="I355" s="3">
        <v>44160</v>
      </c>
      <c r="J355" s="2" t="s">
        <v>17</v>
      </c>
      <c r="K355" s="4">
        <v>1000</v>
      </c>
      <c r="L355" s="2">
        <v>180.33</v>
      </c>
      <c r="M355" s="2">
        <v>819.67</v>
      </c>
      <c r="N355" s="2">
        <v>-46</v>
      </c>
      <c r="O355" s="4">
        <f t="shared" si="5"/>
        <v>-37704.82</v>
      </c>
      <c r="R355" s="1" t="s">
        <v>95</v>
      </c>
    </row>
    <row r="356" spans="1:18" ht="24" x14ac:dyDescent="0.25">
      <c r="A356" s="2" t="s">
        <v>152</v>
      </c>
      <c r="B356" s="2">
        <v>1861</v>
      </c>
      <c r="C356" s="3">
        <v>44149</v>
      </c>
      <c r="D356" s="2" t="s">
        <v>177</v>
      </c>
      <c r="E356" s="3">
        <v>44139</v>
      </c>
      <c r="F356" s="2">
        <v>0</v>
      </c>
      <c r="G356" s="2">
        <v>0</v>
      </c>
      <c r="H356" s="3">
        <v>44149</v>
      </c>
      <c r="I356" s="3">
        <v>44196</v>
      </c>
      <c r="J356" s="2" t="s">
        <v>17</v>
      </c>
      <c r="K356" s="4">
        <v>29987</v>
      </c>
      <c r="L356" s="4">
        <v>2726.09</v>
      </c>
      <c r="M356" s="4">
        <v>27260.91</v>
      </c>
      <c r="N356" s="2">
        <v>-47</v>
      </c>
      <c r="O356" s="4">
        <f t="shared" si="5"/>
        <v>-1281262.77</v>
      </c>
      <c r="R356" s="1" t="s">
        <v>154</v>
      </c>
    </row>
    <row r="357" spans="1:18" ht="24" x14ac:dyDescent="0.25">
      <c r="A357" s="2" t="s">
        <v>152</v>
      </c>
      <c r="B357" s="2">
        <v>1862</v>
      </c>
      <c r="C357" s="3">
        <v>44149</v>
      </c>
      <c r="D357" s="2" t="s">
        <v>177</v>
      </c>
      <c r="E357" s="3">
        <v>44139</v>
      </c>
      <c r="F357" s="2">
        <v>0</v>
      </c>
      <c r="G357" s="2">
        <v>0</v>
      </c>
      <c r="H357" s="3">
        <v>44149</v>
      </c>
      <c r="I357" s="3">
        <v>44196</v>
      </c>
      <c r="J357" s="2" t="s">
        <v>17</v>
      </c>
      <c r="K357" s="4">
        <v>4823.3599999999997</v>
      </c>
      <c r="L357" s="2">
        <v>438.49</v>
      </c>
      <c r="M357" s="4">
        <v>4384.87</v>
      </c>
      <c r="N357" s="2">
        <v>-47</v>
      </c>
      <c r="O357" s="4">
        <f t="shared" si="5"/>
        <v>-206088.88999999998</v>
      </c>
      <c r="R357" s="1" t="s">
        <v>154</v>
      </c>
    </row>
    <row r="358" spans="1:18" ht="24" x14ac:dyDescent="0.25">
      <c r="A358" s="2" t="s">
        <v>57</v>
      </c>
      <c r="B358" s="2">
        <v>2211</v>
      </c>
      <c r="C358" s="3">
        <v>44183</v>
      </c>
      <c r="D358" s="2" t="str">
        <f>"0350120200801164000"</f>
        <v>0350120200801164000</v>
      </c>
      <c r="E358" s="3">
        <v>44167</v>
      </c>
      <c r="F358" s="2">
        <v>0</v>
      </c>
      <c r="G358" s="2">
        <v>0</v>
      </c>
      <c r="H358" s="3">
        <v>44184</v>
      </c>
      <c r="I358" s="3">
        <v>44232</v>
      </c>
      <c r="J358" s="2" t="s">
        <v>17</v>
      </c>
      <c r="K358" s="2">
        <v>9.49</v>
      </c>
      <c r="L358" s="2">
        <v>0.86</v>
      </c>
      <c r="M358" s="2">
        <v>8.6300000000000008</v>
      </c>
      <c r="N358" s="2">
        <v>-48</v>
      </c>
      <c r="O358" s="4">
        <f t="shared" si="5"/>
        <v>-414.24</v>
      </c>
      <c r="R358" s="1" t="s">
        <v>54</v>
      </c>
    </row>
    <row r="359" spans="1:18" ht="24" x14ac:dyDescent="0.25">
      <c r="A359" s="2" t="s">
        <v>57</v>
      </c>
      <c r="B359" s="2">
        <v>2206</v>
      </c>
      <c r="C359" s="3">
        <v>44183</v>
      </c>
      <c r="D359" s="2" t="str">
        <f>"0350120200801165800"</f>
        <v>0350120200801165800</v>
      </c>
      <c r="E359" s="3">
        <v>44167</v>
      </c>
      <c r="F359" s="2">
        <v>0</v>
      </c>
      <c r="G359" s="2">
        <v>0</v>
      </c>
      <c r="H359" s="3">
        <v>44184</v>
      </c>
      <c r="I359" s="3">
        <v>44232</v>
      </c>
      <c r="J359" s="2" t="s">
        <v>17</v>
      </c>
      <c r="K359" s="2">
        <v>7.0000000000000007E-2</v>
      </c>
      <c r="L359" s="2">
        <v>0.01</v>
      </c>
      <c r="M359" s="2">
        <v>0.06</v>
      </c>
      <c r="N359" s="2">
        <v>-48</v>
      </c>
      <c r="O359" s="4">
        <f t="shared" si="5"/>
        <v>-2.88</v>
      </c>
      <c r="R359" s="1" t="s">
        <v>54</v>
      </c>
    </row>
    <row r="360" spans="1:18" ht="24" x14ac:dyDescent="0.25">
      <c r="A360" s="2" t="s">
        <v>57</v>
      </c>
      <c r="B360" s="2">
        <v>2206</v>
      </c>
      <c r="C360" s="3">
        <v>44183</v>
      </c>
      <c r="D360" s="2" t="str">
        <f>"0350120200801164400"</f>
        <v>0350120200801164400</v>
      </c>
      <c r="E360" s="3">
        <v>44167</v>
      </c>
      <c r="F360" s="2">
        <v>0</v>
      </c>
      <c r="G360" s="2">
        <v>0</v>
      </c>
      <c r="H360" s="3">
        <v>44184</v>
      </c>
      <c r="I360" s="3">
        <v>44232</v>
      </c>
      <c r="J360" s="2" t="s">
        <v>17</v>
      </c>
      <c r="K360" s="2">
        <v>3.71</v>
      </c>
      <c r="L360" s="2">
        <v>0.34</v>
      </c>
      <c r="M360" s="2">
        <v>3.37</v>
      </c>
      <c r="N360" s="2">
        <v>-48</v>
      </c>
      <c r="O360" s="4">
        <f t="shared" si="5"/>
        <v>-161.76</v>
      </c>
      <c r="R360" s="1" t="s">
        <v>54</v>
      </c>
    </row>
    <row r="361" spans="1:18" ht="24" x14ac:dyDescent="0.25">
      <c r="A361" s="2" t="s">
        <v>57</v>
      </c>
      <c r="B361" s="2">
        <v>2213</v>
      </c>
      <c r="C361" s="3">
        <v>44183</v>
      </c>
      <c r="D361" s="2" t="str">
        <f>"0350120200801165400"</f>
        <v>0350120200801165400</v>
      </c>
      <c r="E361" s="3">
        <v>44167</v>
      </c>
      <c r="F361" s="2">
        <v>0</v>
      </c>
      <c r="G361" s="2">
        <v>0</v>
      </c>
      <c r="H361" s="3">
        <v>44184</v>
      </c>
      <c r="I361" s="3">
        <v>44232</v>
      </c>
      <c r="J361" s="2" t="s">
        <v>17</v>
      </c>
      <c r="K361" s="2">
        <v>83.84</v>
      </c>
      <c r="L361" s="2">
        <v>7.62</v>
      </c>
      <c r="M361" s="2">
        <v>76.22</v>
      </c>
      <c r="N361" s="2">
        <v>-48</v>
      </c>
      <c r="O361" s="4">
        <f t="shared" si="5"/>
        <v>-3658.56</v>
      </c>
      <c r="R361" s="1" t="s">
        <v>54</v>
      </c>
    </row>
    <row r="362" spans="1:18" ht="24" x14ac:dyDescent="0.25">
      <c r="A362" s="2" t="s">
        <v>57</v>
      </c>
      <c r="B362" s="2">
        <v>2214</v>
      </c>
      <c r="C362" s="3">
        <v>44183</v>
      </c>
      <c r="D362" s="2" t="str">
        <f>"0350120200801165700"</f>
        <v>0350120200801165700</v>
      </c>
      <c r="E362" s="3">
        <v>44167</v>
      </c>
      <c r="F362" s="2">
        <v>0</v>
      </c>
      <c r="G362" s="2">
        <v>0</v>
      </c>
      <c r="H362" s="3">
        <v>44184</v>
      </c>
      <c r="I362" s="3">
        <v>44232</v>
      </c>
      <c r="J362" s="2" t="s">
        <v>17</v>
      </c>
      <c r="K362" s="2">
        <v>485.73</v>
      </c>
      <c r="L362" s="2">
        <v>44.14</v>
      </c>
      <c r="M362" s="2">
        <v>441.59</v>
      </c>
      <c r="N362" s="2">
        <v>-48</v>
      </c>
      <c r="O362" s="4">
        <f t="shared" si="5"/>
        <v>-21196.32</v>
      </c>
      <c r="R362" s="1" t="s">
        <v>54</v>
      </c>
    </row>
    <row r="363" spans="1:18" ht="24" x14ac:dyDescent="0.25">
      <c r="A363" s="2" t="s">
        <v>57</v>
      </c>
      <c r="B363" s="2">
        <v>2210</v>
      </c>
      <c r="C363" s="3">
        <v>44183</v>
      </c>
      <c r="D363" s="2" t="str">
        <f>"0350120200801168400"</f>
        <v>0350120200801168400</v>
      </c>
      <c r="E363" s="3">
        <v>44167</v>
      </c>
      <c r="F363" s="2">
        <v>0</v>
      </c>
      <c r="G363" s="2">
        <v>0</v>
      </c>
      <c r="H363" s="3">
        <v>44184</v>
      </c>
      <c r="I363" s="3">
        <v>44232</v>
      </c>
      <c r="J363" s="2" t="s">
        <v>17</v>
      </c>
      <c r="K363" s="2">
        <v>17.79</v>
      </c>
      <c r="L363" s="2">
        <v>1.62</v>
      </c>
      <c r="M363" s="2">
        <v>16.170000000000002</v>
      </c>
      <c r="N363" s="2">
        <v>-48</v>
      </c>
      <c r="O363" s="4">
        <f t="shared" si="5"/>
        <v>-776.16000000000008</v>
      </c>
      <c r="R363" s="1" t="s">
        <v>54</v>
      </c>
    </row>
    <row r="364" spans="1:18" ht="24" x14ac:dyDescent="0.25">
      <c r="A364" s="2" t="s">
        <v>57</v>
      </c>
      <c r="B364" s="2">
        <v>2209</v>
      </c>
      <c r="C364" s="3">
        <v>44183</v>
      </c>
      <c r="D364" s="2" t="str">
        <f>"0350120200801166200"</f>
        <v>0350120200801166200</v>
      </c>
      <c r="E364" s="3">
        <v>44167</v>
      </c>
      <c r="F364" s="2">
        <v>0</v>
      </c>
      <c r="G364" s="2">
        <v>0</v>
      </c>
      <c r="H364" s="3">
        <v>44184</v>
      </c>
      <c r="I364" s="3">
        <v>44232</v>
      </c>
      <c r="J364" s="2" t="s">
        <v>17</v>
      </c>
      <c r="K364" s="2">
        <v>45.86</v>
      </c>
      <c r="L364" s="2">
        <v>4.17</v>
      </c>
      <c r="M364" s="2">
        <v>41.69</v>
      </c>
      <c r="N364" s="2">
        <v>-48</v>
      </c>
      <c r="O364" s="4">
        <f t="shared" si="5"/>
        <v>-2001.12</v>
      </c>
      <c r="R364" s="1" t="s">
        <v>54</v>
      </c>
    </row>
    <row r="365" spans="1:18" ht="24" x14ac:dyDescent="0.25">
      <c r="A365" s="2" t="s">
        <v>57</v>
      </c>
      <c r="B365" s="2">
        <v>2213</v>
      </c>
      <c r="C365" s="3">
        <v>44183</v>
      </c>
      <c r="D365" s="2" t="str">
        <f>"0350120200801165500"</f>
        <v>0350120200801165500</v>
      </c>
      <c r="E365" s="3">
        <v>44167</v>
      </c>
      <c r="F365" s="2">
        <v>0</v>
      </c>
      <c r="G365" s="2">
        <v>0</v>
      </c>
      <c r="H365" s="3">
        <v>44184</v>
      </c>
      <c r="I365" s="3">
        <v>44232</v>
      </c>
      <c r="J365" s="2" t="s">
        <v>17</v>
      </c>
      <c r="K365" s="2">
        <v>0.94</v>
      </c>
      <c r="L365" s="2">
        <v>0.09</v>
      </c>
      <c r="M365" s="2">
        <v>0.85</v>
      </c>
      <c r="N365" s="2">
        <v>-48</v>
      </c>
      <c r="O365" s="4">
        <f t="shared" si="5"/>
        <v>-40.799999999999997</v>
      </c>
      <c r="R365" s="1" t="s">
        <v>54</v>
      </c>
    </row>
    <row r="366" spans="1:18" ht="24" x14ac:dyDescent="0.25">
      <c r="A366" s="2" t="s">
        <v>57</v>
      </c>
      <c r="B366" s="2">
        <v>2207</v>
      </c>
      <c r="C366" s="3">
        <v>44183</v>
      </c>
      <c r="D366" s="2" t="str">
        <f>"0350120200801165600"</f>
        <v>0350120200801165600</v>
      </c>
      <c r="E366" s="3">
        <v>44167</v>
      </c>
      <c r="F366" s="2">
        <v>0</v>
      </c>
      <c r="G366" s="2">
        <v>0</v>
      </c>
      <c r="H366" s="3">
        <v>44184</v>
      </c>
      <c r="I366" s="3">
        <v>44232</v>
      </c>
      <c r="J366" s="2" t="s">
        <v>17</v>
      </c>
      <c r="K366" s="2">
        <v>198.61</v>
      </c>
      <c r="L366" s="2">
        <v>18.059999999999999</v>
      </c>
      <c r="M366" s="2">
        <v>180.55</v>
      </c>
      <c r="N366" s="2">
        <v>-48</v>
      </c>
      <c r="O366" s="4">
        <f t="shared" si="5"/>
        <v>-8666.4000000000015</v>
      </c>
      <c r="R366" s="1" t="s">
        <v>54</v>
      </c>
    </row>
    <row r="367" spans="1:18" ht="24" x14ac:dyDescent="0.25">
      <c r="A367" s="2" t="s">
        <v>57</v>
      </c>
      <c r="B367" s="2">
        <v>2205</v>
      </c>
      <c r="C367" s="3">
        <v>44183</v>
      </c>
      <c r="D367" s="2" t="str">
        <f>"0350120200801164500"</f>
        <v>0350120200801164500</v>
      </c>
      <c r="E367" s="3">
        <v>44167</v>
      </c>
      <c r="F367" s="2">
        <v>0</v>
      </c>
      <c r="G367" s="2">
        <v>0</v>
      </c>
      <c r="H367" s="3">
        <v>44184</v>
      </c>
      <c r="I367" s="3">
        <v>44232</v>
      </c>
      <c r="J367" s="2" t="s">
        <v>17</v>
      </c>
      <c r="K367" s="2">
        <v>21.07</v>
      </c>
      <c r="L367" s="2">
        <v>1.92</v>
      </c>
      <c r="M367" s="2">
        <v>19.149999999999999</v>
      </c>
      <c r="N367" s="2">
        <v>-48</v>
      </c>
      <c r="O367" s="4">
        <f t="shared" si="5"/>
        <v>-919.19999999999993</v>
      </c>
      <c r="R367" s="1" t="s">
        <v>54</v>
      </c>
    </row>
    <row r="368" spans="1:18" ht="24" x14ac:dyDescent="0.25">
      <c r="A368" s="2" t="s">
        <v>57</v>
      </c>
      <c r="B368" s="2">
        <v>2205</v>
      </c>
      <c r="C368" s="3">
        <v>44183</v>
      </c>
      <c r="D368" s="2" t="str">
        <f>"0350120200801165200"</f>
        <v>0350120200801165200</v>
      </c>
      <c r="E368" s="3">
        <v>44167</v>
      </c>
      <c r="F368" s="2">
        <v>0</v>
      </c>
      <c r="G368" s="2">
        <v>0</v>
      </c>
      <c r="H368" s="3">
        <v>44184</v>
      </c>
      <c r="I368" s="3">
        <v>44232</v>
      </c>
      <c r="J368" s="2" t="s">
        <v>17</v>
      </c>
      <c r="K368" s="2">
        <v>12.64</v>
      </c>
      <c r="L368" s="2">
        <v>1.1499999999999999</v>
      </c>
      <c r="M368" s="2">
        <v>11.49</v>
      </c>
      <c r="N368" s="2">
        <v>-48</v>
      </c>
      <c r="O368" s="4">
        <f t="shared" si="5"/>
        <v>-551.52</v>
      </c>
      <c r="R368" s="1" t="s">
        <v>54</v>
      </c>
    </row>
    <row r="369" spans="1:18" ht="24" x14ac:dyDescent="0.25">
      <c r="A369" s="2" t="s">
        <v>57</v>
      </c>
      <c r="B369" s="2">
        <v>2215</v>
      </c>
      <c r="C369" s="3">
        <v>44183</v>
      </c>
      <c r="D369" s="2" t="str">
        <f>"0350120200801165000"</f>
        <v>0350120200801165000</v>
      </c>
      <c r="E369" s="3">
        <v>44167</v>
      </c>
      <c r="F369" s="2">
        <v>0</v>
      </c>
      <c r="G369" s="2">
        <v>0</v>
      </c>
      <c r="H369" s="3">
        <v>44184</v>
      </c>
      <c r="I369" s="3">
        <v>44232</v>
      </c>
      <c r="J369" s="2" t="s">
        <v>17</v>
      </c>
      <c r="K369" s="2">
        <v>21.98</v>
      </c>
      <c r="L369" s="2">
        <v>2</v>
      </c>
      <c r="M369" s="2">
        <v>19.98</v>
      </c>
      <c r="N369" s="2">
        <v>-48</v>
      </c>
      <c r="O369" s="4">
        <f t="shared" si="5"/>
        <v>-959.04</v>
      </c>
      <c r="R369" s="1" t="s">
        <v>54</v>
      </c>
    </row>
    <row r="370" spans="1:18" ht="24" x14ac:dyDescent="0.25">
      <c r="A370" s="2" t="s">
        <v>57</v>
      </c>
      <c r="B370" s="2">
        <v>2212</v>
      </c>
      <c r="C370" s="3">
        <v>44183</v>
      </c>
      <c r="D370" s="2" t="str">
        <f>"0350120200801164700"</f>
        <v>0350120200801164700</v>
      </c>
      <c r="E370" s="3">
        <v>44167</v>
      </c>
      <c r="F370" s="2">
        <v>0</v>
      </c>
      <c r="G370" s="2">
        <v>0</v>
      </c>
      <c r="H370" s="3">
        <v>44184</v>
      </c>
      <c r="I370" s="3">
        <v>44232</v>
      </c>
      <c r="J370" s="2" t="s">
        <v>17</v>
      </c>
      <c r="K370" s="2">
        <v>996.67</v>
      </c>
      <c r="L370" s="2">
        <v>90.61</v>
      </c>
      <c r="M370" s="2">
        <v>906.06</v>
      </c>
      <c r="N370" s="2">
        <v>-48</v>
      </c>
      <c r="O370" s="4">
        <f t="shared" si="5"/>
        <v>-43490.879999999997</v>
      </c>
      <c r="R370" s="1" t="s">
        <v>54</v>
      </c>
    </row>
    <row r="371" spans="1:18" x14ac:dyDescent="0.25">
      <c r="A371" s="2" t="s">
        <v>166</v>
      </c>
      <c r="B371" s="2">
        <v>2053</v>
      </c>
      <c r="C371" s="3">
        <v>44176</v>
      </c>
      <c r="D371" s="2" t="str">
        <f>"0002148467"</f>
        <v>0002148467</v>
      </c>
      <c r="E371" s="3">
        <v>44165</v>
      </c>
      <c r="F371" s="2">
        <v>0</v>
      </c>
      <c r="G371" s="2">
        <v>0</v>
      </c>
      <c r="H371" s="3">
        <v>44177</v>
      </c>
      <c r="I371" s="3">
        <v>44226</v>
      </c>
      <c r="J371" s="2" t="s">
        <v>17</v>
      </c>
      <c r="K371" s="2">
        <v>917.44</v>
      </c>
      <c r="L371" s="2">
        <v>165.44</v>
      </c>
      <c r="M371" s="2">
        <v>752</v>
      </c>
      <c r="N371" s="2">
        <v>-49</v>
      </c>
      <c r="O371" s="4">
        <f t="shared" si="5"/>
        <v>-36848</v>
      </c>
      <c r="R371" s="1" t="s">
        <v>167</v>
      </c>
    </row>
    <row r="372" spans="1:18" x14ac:dyDescent="0.25">
      <c r="A372" s="2" t="s">
        <v>166</v>
      </c>
      <c r="B372" s="2">
        <v>2044</v>
      </c>
      <c r="C372" s="3">
        <v>44176</v>
      </c>
      <c r="D372" s="2" t="str">
        <f>"0001168368"</f>
        <v>0001168368</v>
      </c>
      <c r="E372" s="3">
        <v>44165</v>
      </c>
      <c r="F372" s="2">
        <v>0</v>
      </c>
      <c r="G372" s="2">
        <v>0</v>
      </c>
      <c r="H372" s="3">
        <v>44177</v>
      </c>
      <c r="I372" s="3">
        <v>44226</v>
      </c>
      <c r="J372" s="2" t="s">
        <v>17</v>
      </c>
      <c r="K372" s="4">
        <v>1786</v>
      </c>
      <c r="L372" s="2">
        <v>0</v>
      </c>
      <c r="M372" s="4">
        <v>1786</v>
      </c>
      <c r="N372" s="2">
        <v>-49</v>
      </c>
      <c r="O372" s="4">
        <f t="shared" si="5"/>
        <v>-87514</v>
      </c>
      <c r="R372" s="1" t="s">
        <v>167</v>
      </c>
    </row>
    <row r="373" spans="1:18" x14ac:dyDescent="0.25">
      <c r="A373" s="2" t="s">
        <v>166</v>
      </c>
      <c r="B373" s="2">
        <v>2053</v>
      </c>
      <c r="C373" s="3">
        <v>44176</v>
      </c>
      <c r="D373" s="2" t="str">
        <f>"0002148901"</f>
        <v>0002148901</v>
      </c>
      <c r="E373" s="3">
        <v>44165</v>
      </c>
      <c r="F373" s="2">
        <v>0</v>
      </c>
      <c r="G373" s="2">
        <v>0</v>
      </c>
      <c r="H373" s="3">
        <v>44177</v>
      </c>
      <c r="I373" s="3">
        <v>44226</v>
      </c>
      <c r="J373" s="2" t="s">
        <v>17</v>
      </c>
      <c r="K373" s="2">
        <v>569.25</v>
      </c>
      <c r="L373" s="2">
        <v>102.65</v>
      </c>
      <c r="M373" s="2">
        <v>466.6</v>
      </c>
      <c r="N373" s="2">
        <v>-49</v>
      </c>
      <c r="O373" s="4">
        <f t="shared" si="5"/>
        <v>-22863.4</v>
      </c>
      <c r="R373" s="1" t="s">
        <v>167</v>
      </c>
    </row>
    <row r="374" spans="1:18" ht="24" x14ac:dyDescent="0.25">
      <c r="A374" s="2" t="s">
        <v>172</v>
      </c>
      <c r="B374" s="2">
        <v>2061</v>
      </c>
      <c r="C374" s="3">
        <v>44176</v>
      </c>
      <c r="D374" s="2" t="s">
        <v>178</v>
      </c>
      <c r="E374" s="3">
        <v>44165</v>
      </c>
      <c r="F374" s="2">
        <v>0</v>
      </c>
      <c r="G374" s="2">
        <v>0</v>
      </c>
      <c r="H374" s="3">
        <v>44177</v>
      </c>
      <c r="I374" s="3">
        <v>44226</v>
      </c>
      <c r="J374" s="2" t="s">
        <v>17</v>
      </c>
      <c r="K374" s="4">
        <v>9902.64</v>
      </c>
      <c r="L374" s="2">
        <v>471.55</v>
      </c>
      <c r="M374" s="4">
        <v>9431.09</v>
      </c>
      <c r="N374" s="2">
        <v>-49</v>
      </c>
      <c r="O374" s="4">
        <f t="shared" si="5"/>
        <v>-462123.41000000003</v>
      </c>
      <c r="R374" s="1" t="s">
        <v>71</v>
      </c>
    </row>
    <row r="375" spans="1:18" x14ac:dyDescent="0.25">
      <c r="A375" s="2" t="s">
        <v>179</v>
      </c>
      <c r="B375" s="2">
        <v>1803</v>
      </c>
      <c r="C375" s="3">
        <v>44135</v>
      </c>
      <c r="D375" s="2" t="s">
        <v>180</v>
      </c>
      <c r="E375" s="3">
        <v>44125</v>
      </c>
      <c r="F375" s="2">
        <v>0</v>
      </c>
      <c r="G375" s="2">
        <v>0</v>
      </c>
      <c r="H375" s="3">
        <v>44135</v>
      </c>
      <c r="I375" s="3">
        <v>44184</v>
      </c>
      <c r="J375" s="2" t="s">
        <v>17</v>
      </c>
      <c r="K375" s="2">
        <v>250</v>
      </c>
      <c r="L375" s="2">
        <v>45.08</v>
      </c>
      <c r="M375" s="2">
        <v>204.92</v>
      </c>
      <c r="N375" s="2">
        <v>-49</v>
      </c>
      <c r="O375" s="4">
        <f t="shared" si="5"/>
        <v>-10041.08</v>
      </c>
      <c r="R375" s="1" t="s">
        <v>83</v>
      </c>
    </row>
    <row r="376" spans="1:18" ht="24" x14ac:dyDescent="0.25">
      <c r="A376" s="2" t="s">
        <v>170</v>
      </c>
      <c r="B376" s="2">
        <v>2056</v>
      </c>
      <c r="C376" s="3">
        <v>44176</v>
      </c>
      <c r="D376" s="2" t="s">
        <v>181</v>
      </c>
      <c r="E376" s="3">
        <v>44165</v>
      </c>
      <c r="F376" s="2">
        <v>0</v>
      </c>
      <c r="G376" s="2">
        <v>0</v>
      </c>
      <c r="H376" s="3">
        <v>44177</v>
      </c>
      <c r="I376" s="3">
        <v>44227</v>
      </c>
      <c r="J376" s="2" t="s">
        <v>17</v>
      </c>
      <c r="K376" s="4">
        <v>5004.49</v>
      </c>
      <c r="L376" s="2">
        <v>454.95</v>
      </c>
      <c r="M376" s="4">
        <v>4549.54</v>
      </c>
      <c r="N376" s="2">
        <v>-50</v>
      </c>
      <c r="O376" s="4">
        <f t="shared" si="5"/>
        <v>-227477</v>
      </c>
      <c r="R376" s="1" t="s">
        <v>164</v>
      </c>
    </row>
    <row r="377" spans="1:18" x14ac:dyDescent="0.25">
      <c r="A377" s="2" t="s">
        <v>23</v>
      </c>
      <c r="B377" s="2">
        <v>2048</v>
      </c>
      <c r="C377" s="3">
        <v>44176</v>
      </c>
      <c r="D377" s="2" t="str">
        <f>"20253"</f>
        <v>20253</v>
      </c>
      <c r="E377" s="3">
        <v>44168</v>
      </c>
      <c r="F377" s="2">
        <v>0</v>
      </c>
      <c r="G377" s="2">
        <v>0</v>
      </c>
      <c r="H377" s="3">
        <v>44177</v>
      </c>
      <c r="I377" s="3">
        <v>44228</v>
      </c>
      <c r="J377" s="2" t="s">
        <v>17</v>
      </c>
      <c r="K377" s="4">
        <v>9646.49</v>
      </c>
      <c r="L377" s="4">
        <v>1739.53</v>
      </c>
      <c r="M377" s="4">
        <v>7906.96</v>
      </c>
      <c r="N377" s="2">
        <v>-51</v>
      </c>
      <c r="O377" s="4">
        <f t="shared" si="5"/>
        <v>-403254.96</v>
      </c>
      <c r="R377" s="1" t="s">
        <v>24</v>
      </c>
    </row>
    <row r="378" spans="1:18" x14ac:dyDescent="0.25">
      <c r="A378" s="2" t="s">
        <v>23</v>
      </c>
      <c r="B378" s="2">
        <v>2049</v>
      </c>
      <c r="C378" s="3">
        <v>44176</v>
      </c>
      <c r="D378" s="2" t="str">
        <f>"20254"</f>
        <v>20254</v>
      </c>
      <c r="E378" s="3">
        <v>44168</v>
      </c>
      <c r="F378" s="2">
        <v>0</v>
      </c>
      <c r="G378" s="2">
        <v>0</v>
      </c>
      <c r="H378" s="3">
        <v>44177</v>
      </c>
      <c r="I378" s="3">
        <v>44228</v>
      </c>
      <c r="J378" s="2" t="s">
        <v>17</v>
      </c>
      <c r="K378" s="2">
        <v>132.65</v>
      </c>
      <c r="L378" s="2">
        <v>23.92</v>
      </c>
      <c r="M378" s="2">
        <v>108.73</v>
      </c>
      <c r="N378" s="2">
        <v>-51</v>
      </c>
      <c r="O378" s="4">
        <f t="shared" si="5"/>
        <v>-5545.2300000000005</v>
      </c>
      <c r="R378" s="1" t="s">
        <v>24</v>
      </c>
    </row>
    <row r="379" spans="1:18" ht="24" x14ac:dyDescent="0.25">
      <c r="A379" s="2" t="s">
        <v>57</v>
      </c>
      <c r="B379" s="2">
        <v>1876</v>
      </c>
      <c r="C379" s="3">
        <v>44155</v>
      </c>
      <c r="D379" s="2" t="str">
        <f>"0350120200800965300"</f>
        <v>0350120200800965300</v>
      </c>
      <c r="E379" s="3">
        <v>44144</v>
      </c>
      <c r="F379" s="2">
        <v>0</v>
      </c>
      <c r="G379" s="2">
        <v>0</v>
      </c>
      <c r="H379" s="3">
        <v>44156</v>
      </c>
      <c r="I379" s="3">
        <v>44207</v>
      </c>
      <c r="J379" s="2" t="s">
        <v>17</v>
      </c>
      <c r="K379" s="2">
        <v>246.62</v>
      </c>
      <c r="L379" s="2">
        <v>22.42</v>
      </c>
      <c r="M379" s="2">
        <v>224.2</v>
      </c>
      <c r="N379" s="2">
        <v>-51</v>
      </c>
      <c r="O379" s="4">
        <f t="shared" si="5"/>
        <v>-11434.199999999999</v>
      </c>
      <c r="R379" s="1" t="s">
        <v>54</v>
      </c>
    </row>
    <row r="380" spans="1:18" ht="24" x14ac:dyDescent="0.25">
      <c r="A380" s="2" t="s">
        <v>182</v>
      </c>
      <c r="B380" s="2">
        <v>1820</v>
      </c>
      <c r="C380" s="3">
        <v>44141</v>
      </c>
      <c r="D380" s="2" t="str">
        <f>"4"</f>
        <v>4</v>
      </c>
      <c r="E380" s="3">
        <v>44133</v>
      </c>
      <c r="F380" s="2">
        <v>0</v>
      </c>
      <c r="G380" s="2">
        <v>0</v>
      </c>
      <c r="H380" s="3">
        <v>44142</v>
      </c>
      <c r="I380" s="3">
        <v>44194</v>
      </c>
      <c r="J380" s="2" t="s">
        <v>17</v>
      </c>
      <c r="K380" s="4">
        <v>2283.84</v>
      </c>
      <c r="L380" s="2">
        <v>0</v>
      </c>
      <c r="M380" s="4">
        <v>2283.84</v>
      </c>
      <c r="N380" s="2">
        <v>-52</v>
      </c>
      <c r="O380" s="4">
        <f t="shared" si="5"/>
        <v>-118759.68000000001</v>
      </c>
      <c r="R380" s="1" t="s">
        <v>183</v>
      </c>
    </row>
    <row r="381" spans="1:18" ht="24" x14ac:dyDescent="0.25">
      <c r="A381" s="2" t="s">
        <v>172</v>
      </c>
      <c r="B381" s="2">
        <v>1823</v>
      </c>
      <c r="C381" s="3">
        <v>44141</v>
      </c>
      <c r="D381" s="2" t="s">
        <v>184</v>
      </c>
      <c r="E381" s="3">
        <v>44134</v>
      </c>
      <c r="F381" s="2">
        <v>0</v>
      </c>
      <c r="G381" s="2">
        <v>0</v>
      </c>
      <c r="H381" s="3">
        <v>44142</v>
      </c>
      <c r="I381" s="3">
        <v>44195</v>
      </c>
      <c r="J381" s="2" t="s">
        <v>17</v>
      </c>
      <c r="K381" s="4">
        <v>8516.8700000000008</v>
      </c>
      <c r="L381" s="2">
        <v>405.57</v>
      </c>
      <c r="M381" s="4">
        <v>8111.3</v>
      </c>
      <c r="N381" s="2">
        <v>-53</v>
      </c>
      <c r="O381" s="4">
        <f t="shared" si="5"/>
        <v>-429898.9</v>
      </c>
      <c r="R381" s="1" t="s">
        <v>71</v>
      </c>
    </row>
    <row r="382" spans="1:18" x14ac:dyDescent="0.25">
      <c r="A382" s="2" t="s">
        <v>185</v>
      </c>
      <c r="B382" s="2">
        <v>1821</v>
      </c>
      <c r="C382" s="3">
        <v>44141</v>
      </c>
      <c r="D382" s="2" t="s">
        <v>186</v>
      </c>
      <c r="E382" s="3">
        <v>44138</v>
      </c>
      <c r="F382" s="2">
        <v>0</v>
      </c>
      <c r="G382" s="2">
        <v>0</v>
      </c>
      <c r="H382" s="3">
        <v>44142</v>
      </c>
      <c r="I382" s="3">
        <v>44196</v>
      </c>
      <c r="J382" s="2" t="s">
        <v>17</v>
      </c>
      <c r="K382" s="2">
        <v>396.04</v>
      </c>
      <c r="L382" s="2">
        <v>8.5299999999999994</v>
      </c>
      <c r="M382" s="2">
        <v>387.51</v>
      </c>
      <c r="N382" s="2">
        <v>-54</v>
      </c>
      <c r="O382" s="4">
        <f t="shared" si="5"/>
        <v>-20925.54</v>
      </c>
      <c r="R382" s="1" t="s">
        <v>119</v>
      </c>
    </row>
    <row r="383" spans="1:18" x14ac:dyDescent="0.25">
      <c r="A383" s="2" t="s">
        <v>185</v>
      </c>
      <c r="B383" s="2">
        <v>1821</v>
      </c>
      <c r="C383" s="3">
        <v>44141</v>
      </c>
      <c r="D383" s="2" t="s">
        <v>187</v>
      </c>
      <c r="E383" s="3">
        <v>44138</v>
      </c>
      <c r="F383" s="2">
        <v>0</v>
      </c>
      <c r="G383" s="2">
        <v>0</v>
      </c>
      <c r="H383" s="3">
        <v>44142</v>
      </c>
      <c r="I383" s="3">
        <v>44196</v>
      </c>
      <c r="J383" s="2" t="s">
        <v>17</v>
      </c>
      <c r="K383" s="2">
        <v>763.02</v>
      </c>
      <c r="L383" s="2">
        <v>16.47</v>
      </c>
      <c r="M383" s="2">
        <v>746.55</v>
      </c>
      <c r="N383" s="2">
        <v>-54</v>
      </c>
      <c r="O383" s="4">
        <f t="shared" si="5"/>
        <v>-40313.699999999997</v>
      </c>
      <c r="R383" s="1" t="s">
        <v>119</v>
      </c>
    </row>
    <row r="384" spans="1:18" x14ac:dyDescent="0.25">
      <c r="A384" s="2" t="s">
        <v>185</v>
      </c>
      <c r="B384" s="2">
        <v>1821</v>
      </c>
      <c r="C384" s="3">
        <v>44141</v>
      </c>
      <c r="D384" s="2" t="s">
        <v>188</v>
      </c>
      <c r="E384" s="3">
        <v>44138</v>
      </c>
      <c r="F384" s="2">
        <v>0</v>
      </c>
      <c r="G384" s="2">
        <v>0</v>
      </c>
      <c r="H384" s="3">
        <v>44142</v>
      </c>
      <c r="I384" s="3">
        <v>44196</v>
      </c>
      <c r="J384" s="2" t="s">
        <v>17</v>
      </c>
      <c r="K384" s="2">
        <v>667.82</v>
      </c>
      <c r="L384" s="2">
        <v>14.41</v>
      </c>
      <c r="M384" s="2">
        <v>653.41</v>
      </c>
      <c r="N384" s="2">
        <v>-54</v>
      </c>
      <c r="O384" s="4">
        <f t="shared" si="5"/>
        <v>-35284.14</v>
      </c>
      <c r="R384" s="1" t="s">
        <v>119</v>
      </c>
    </row>
    <row r="385" spans="1:18" ht="24" x14ac:dyDescent="0.25">
      <c r="A385" s="2" t="s">
        <v>189</v>
      </c>
      <c r="B385" s="2">
        <v>1813</v>
      </c>
      <c r="C385" s="3">
        <v>44141</v>
      </c>
      <c r="D385" s="2" t="s">
        <v>190</v>
      </c>
      <c r="E385" s="3">
        <v>44132</v>
      </c>
      <c r="F385" s="2">
        <v>0</v>
      </c>
      <c r="G385" s="2">
        <v>0</v>
      </c>
      <c r="H385" s="3">
        <v>44142</v>
      </c>
      <c r="I385" s="3">
        <v>44196</v>
      </c>
      <c r="J385" s="2" t="s">
        <v>17</v>
      </c>
      <c r="K385" s="2">
        <v>194.3</v>
      </c>
      <c r="L385" s="2">
        <v>0</v>
      </c>
      <c r="M385" s="2">
        <v>194.3</v>
      </c>
      <c r="N385" s="2">
        <v>-54</v>
      </c>
      <c r="O385" s="4">
        <f t="shared" si="5"/>
        <v>-10492.2</v>
      </c>
      <c r="R385" s="1" t="s">
        <v>124</v>
      </c>
    </row>
    <row r="386" spans="1:18" ht="24" x14ac:dyDescent="0.25">
      <c r="A386" s="2" t="s">
        <v>191</v>
      </c>
      <c r="B386" s="2">
        <v>2219</v>
      </c>
      <c r="C386" s="3">
        <v>44184</v>
      </c>
      <c r="D386" s="2" t="s">
        <v>192</v>
      </c>
      <c r="E386" s="3">
        <v>44181</v>
      </c>
      <c r="F386" s="2">
        <v>0</v>
      </c>
      <c r="G386" s="2">
        <v>0</v>
      </c>
      <c r="H386" s="3">
        <v>44184</v>
      </c>
      <c r="I386" s="3">
        <v>44238</v>
      </c>
      <c r="J386" s="2" t="s">
        <v>17</v>
      </c>
      <c r="K386" s="4">
        <v>2626</v>
      </c>
      <c r="L386" s="2">
        <v>0</v>
      </c>
      <c r="M386" s="4">
        <v>2626</v>
      </c>
      <c r="N386" s="2">
        <v>-54</v>
      </c>
      <c r="O386" s="4">
        <f t="shared" si="5"/>
        <v>-141804</v>
      </c>
      <c r="R386" s="1" t="s">
        <v>193</v>
      </c>
    </row>
    <row r="387" spans="1:18" ht="24" x14ac:dyDescent="0.25">
      <c r="A387" s="2" t="s">
        <v>170</v>
      </c>
      <c r="B387" s="2">
        <v>1817</v>
      </c>
      <c r="C387" s="3">
        <v>44141</v>
      </c>
      <c r="D387" s="2" t="s">
        <v>194</v>
      </c>
      <c r="E387" s="3">
        <v>44134</v>
      </c>
      <c r="F387" s="2">
        <v>0</v>
      </c>
      <c r="G387" s="2">
        <v>0</v>
      </c>
      <c r="H387" s="3">
        <v>44142</v>
      </c>
      <c r="I387" s="3">
        <v>44196</v>
      </c>
      <c r="J387" s="2" t="s">
        <v>17</v>
      </c>
      <c r="K387" s="4">
        <v>5004.49</v>
      </c>
      <c r="L387" s="2">
        <v>454.95</v>
      </c>
      <c r="M387" s="4">
        <v>4549.54</v>
      </c>
      <c r="N387" s="2">
        <v>-54</v>
      </c>
      <c r="O387" s="4">
        <f t="shared" ref="O387:O416" si="6">+M387*N387</f>
        <v>-245675.16</v>
      </c>
      <c r="R387" s="1" t="s">
        <v>164</v>
      </c>
    </row>
    <row r="388" spans="1:18" ht="24" x14ac:dyDescent="0.25">
      <c r="A388" s="2" t="s">
        <v>195</v>
      </c>
      <c r="B388" s="2">
        <v>1764</v>
      </c>
      <c r="C388" s="3">
        <v>44128</v>
      </c>
      <c r="D388" s="2" t="s">
        <v>196</v>
      </c>
      <c r="E388" s="3">
        <v>44123</v>
      </c>
      <c r="F388" s="2">
        <v>0</v>
      </c>
      <c r="G388" s="2">
        <v>0</v>
      </c>
      <c r="H388" s="3">
        <v>44128</v>
      </c>
      <c r="I388" s="3">
        <v>44183</v>
      </c>
      <c r="J388" s="2" t="s">
        <v>17</v>
      </c>
      <c r="K388" s="4">
        <v>1500</v>
      </c>
      <c r="L388" s="2">
        <v>270.49</v>
      </c>
      <c r="M388" s="4">
        <v>1229.51</v>
      </c>
      <c r="N388" s="2">
        <v>-55</v>
      </c>
      <c r="O388" s="4">
        <f t="shared" si="6"/>
        <v>-67623.05</v>
      </c>
      <c r="R388" s="1" t="s">
        <v>145</v>
      </c>
    </row>
    <row r="389" spans="1:18" x14ac:dyDescent="0.25">
      <c r="A389" s="2" t="s">
        <v>197</v>
      </c>
      <c r="B389" s="2">
        <v>1599</v>
      </c>
      <c r="C389" s="3">
        <v>44107</v>
      </c>
      <c r="D389" s="2" t="str">
        <f>"0098"</f>
        <v>0098</v>
      </c>
      <c r="E389" s="3">
        <v>44102</v>
      </c>
      <c r="F389" s="2">
        <v>0</v>
      </c>
      <c r="G389" s="2">
        <v>0</v>
      </c>
      <c r="H389" s="3">
        <v>44107</v>
      </c>
      <c r="I389" s="3">
        <v>44162</v>
      </c>
      <c r="J389" s="2" t="s">
        <v>17</v>
      </c>
      <c r="K389" s="2">
        <v>715</v>
      </c>
      <c r="L389" s="2">
        <v>0</v>
      </c>
      <c r="M389" s="2">
        <v>715</v>
      </c>
      <c r="N389" s="2">
        <v>-55</v>
      </c>
      <c r="O389" s="4">
        <f t="shared" si="6"/>
        <v>-39325</v>
      </c>
      <c r="R389" s="1" t="s">
        <v>26</v>
      </c>
    </row>
    <row r="390" spans="1:18" ht="24" x14ac:dyDescent="0.25">
      <c r="A390" s="2" t="s">
        <v>57</v>
      </c>
      <c r="B390" s="2">
        <v>2045</v>
      </c>
      <c r="C390" s="3">
        <v>44176</v>
      </c>
      <c r="D390" s="2" t="str">
        <f>"0350120200801165300"</f>
        <v>0350120200801165300</v>
      </c>
      <c r="E390" s="3">
        <v>44167</v>
      </c>
      <c r="F390" s="2">
        <v>0</v>
      </c>
      <c r="G390" s="2">
        <v>0</v>
      </c>
      <c r="H390" s="3">
        <v>44177</v>
      </c>
      <c r="I390" s="3">
        <v>44232</v>
      </c>
      <c r="J390" s="2" t="s">
        <v>17</v>
      </c>
      <c r="K390" s="2">
        <v>63.72</v>
      </c>
      <c r="L390" s="2">
        <v>5.79</v>
      </c>
      <c r="M390" s="2">
        <v>57.93</v>
      </c>
      <c r="N390" s="2">
        <v>-55</v>
      </c>
      <c r="O390" s="4">
        <f t="shared" si="6"/>
        <v>-3186.15</v>
      </c>
      <c r="R390" s="1" t="s">
        <v>54</v>
      </c>
    </row>
    <row r="391" spans="1:18" x14ac:dyDescent="0.25">
      <c r="A391" s="2" t="s">
        <v>174</v>
      </c>
      <c r="B391" s="2">
        <v>2187</v>
      </c>
      <c r="C391" s="3">
        <v>44183</v>
      </c>
      <c r="D391" s="2" t="str">
        <f>"7400044512"</f>
        <v>7400044512</v>
      </c>
      <c r="E391" s="3">
        <v>44165</v>
      </c>
      <c r="F391" s="2">
        <v>0</v>
      </c>
      <c r="G391" s="2">
        <v>0</v>
      </c>
      <c r="H391" s="3">
        <v>44184</v>
      </c>
      <c r="I391" s="3">
        <v>44240</v>
      </c>
      <c r="J391" s="2" t="s">
        <v>17</v>
      </c>
      <c r="K391" s="4">
        <v>1027.25</v>
      </c>
      <c r="L391" s="2">
        <v>39.51</v>
      </c>
      <c r="M391" s="2">
        <v>987.74</v>
      </c>
      <c r="N391" s="2">
        <v>-56</v>
      </c>
      <c r="O391" s="4">
        <f t="shared" si="6"/>
        <v>-55313.440000000002</v>
      </c>
      <c r="R391" s="1" t="s">
        <v>83</v>
      </c>
    </row>
    <row r="392" spans="1:18" x14ac:dyDescent="0.25">
      <c r="A392" s="2" t="s">
        <v>198</v>
      </c>
      <c r="B392" s="2">
        <v>2023</v>
      </c>
      <c r="C392" s="3">
        <v>44169</v>
      </c>
      <c r="D392" s="2" t="s">
        <v>199</v>
      </c>
      <c r="E392" s="3">
        <v>44162</v>
      </c>
      <c r="F392" s="2">
        <v>0</v>
      </c>
      <c r="G392" s="2">
        <v>0</v>
      </c>
      <c r="H392" s="3">
        <v>44170</v>
      </c>
      <c r="I392" s="3">
        <v>44227</v>
      </c>
      <c r="J392" s="2" t="s">
        <v>17</v>
      </c>
      <c r="K392" s="2">
        <v>292.8</v>
      </c>
      <c r="L392" s="2">
        <v>52.8</v>
      </c>
      <c r="M392" s="2">
        <v>240</v>
      </c>
      <c r="N392" s="2">
        <v>-57</v>
      </c>
      <c r="O392" s="4">
        <f t="shared" si="6"/>
        <v>-13680</v>
      </c>
      <c r="R392" s="1" t="s">
        <v>167</v>
      </c>
    </row>
    <row r="393" spans="1:18" ht="24" x14ac:dyDescent="0.25">
      <c r="A393" s="2" t="s">
        <v>195</v>
      </c>
      <c r="B393" s="2">
        <v>1768</v>
      </c>
      <c r="C393" s="3">
        <v>44128</v>
      </c>
      <c r="D393" s="2" t="s">
        <v>200</v>
      </c>
      <c r="E393" s="3">
        <v>44126</v>
      </c>
      <c r="F393" s="2">
        <v>0</v>
      </c>
      <c r="G393" s="2">
        <v>0</v>
      </c>
      <c r="H393" s="3">
        <v>44128</v>
      </c>
      <c r="I393" s="3">
        <v>44186</v>
      </c>
      <c r="J393" s="2" t="s">
        <v>17</v>
      </c>
      <c r="K393" s="4">
        <v>3539</v>
      </c>
      <c r="L393" s="2">
        <v>638.17999999999995</v>
      </c>
      <c r="M393" s="4">
        <v>2900.82</v>
      </c>
      <c r="N393" s="2">
        <v>-58</v>
      </c>
      <c r="O393" s="4">
        <f t="shared" si="6"/>
        <v>-168247.56</v>
      </c>
      <c r="R393" s="1" t="s">
        <v>145</v>
      </c>
    </row>
    <row r="394" spans="1:18" ht="36" x14ac:dyDescent="0.25">
      <c r="A394" s="2" t="s">
        <v>201</v>
      </c>
      <c r="B394" s="2">
        <v>1818</v>
      </c>
      <c r="C394" s="3">
        <v>44141</v>
      </c>
      <c r="D394" s="2" t="s">
        <v>202</v>
      </c>
      <c r="E394" s="3">
        <v>44139</v>
      </c>
      <c r="F394" s="2">
        <v>0</v>
      </c>
      <c r="G394" s="2">
        <v>0</v>
      </c>
      <c r="H394" s="3">
        <v>44142</v>
      </c>
      <c r="I394" s="3">
        <v>44200</v>
      </c>
      <c r="J394" s="2" t="s">
        <v>17</v>
      </c>
      <c r="K394" s="2">
        <v>969</v>
      </c>
      <c r="L394" s="2">
        <v>0</v>
      </c>
      <c r="M394" s="2">
        <v>969</v>
      </c>
      <c r="N394" s="2">
        <v>-58</v>
      </c>
      <c r="O394" s="4">
        <f t="shared" si="6"/>
        <v>-56202</v>
      </c>
      <c r="R394" s="1" t="s">
        <v>203</v>
      </c>
    </row>
    <row r="395" spans="1:18" x14ac:dyDescent="0.25">
      <c r="A395" s="2" t="s">
        <v>204</v>
      </c>
      <c r="B395" s="2">
        <v>1627</v>
      </c>
      <c r="C395" s="3">
        <v>44113</v>
      </c>
      <c r="D395" s="2" t="str">
        <f>"11940"</f>
        <v>11940</v>
      </c>
      <c r="E395" s="3">
        <v>44105</v>
      </c>
      <c r="F395" s="2">
        <v>0</v>
      </c>
      <c r="G395" s="2">
        <v>0</v>
      </c>
      <c r="H395" s="3">
        <v>44114</v>
      </c>
      <c r="I395" s="3">
        <v>44172</v>
      </c>
      <c r="J395" s="2" t="s">
        <v>17</v>
      </c>
      <c r="K395" s="2">
        <v>602.84</v>
      </c>
      <c r="L395" s="2">
        <v>0</v>
      </c>
      <c r="M395" s="2">
        <v>602.84</v>
      </c>
      <c r="N395" s="2">
        <v>-58</v>
      </c>
      <c r="O395" s="4">
        <f t="shared" si="6"/>
        <v>-34964.720000000001</v>
      </c>
      <c r="R395" s="1" t="s">
        <v>14</v>
      </c>
    </row>
    <row r="396" spans="1:18" x14ac:dyDescent="0.25">
      <c r="A396" s="2" t="s">
        <v>174</v>
      </c>
      <c r="B396" s="2">
        <v>1675</v>
      </c>
      <c r="C396" s="3">
        <v>44121</v>
      </c>
      <c r="D396" s="2" t="str">
        <f>"7400034306"</f>
        <v>7400034306</v>
      </c>
      <c r="E396" s="3">
        <v>44104</v>
      </c>
      <c r="F396" s="2">
        <v>0</v>
      </c>
      <c r="G396" s="2">
        <v>0</v>
      </c>
      <c r="H396" s="3">
        <v>44121</v>
      </c>
      <c r="I396" s="3">
        <v>44179</v>
      </c>
      <c r="J396" s="2" t="s">
        <v>17</v>
      </c>
      <c r="K396" s="2">
        <v>991.96</v>
      </c>
      <c r="L396" s="2">
        <v>38.15</v>
      </c>
      <c r="M396" s="2">
        <v>953.81</v>
      </c>
      <c r="N396" s="2">
        <v>-58</v>
      </c>
      <c r="O396" s="4">
        <f t="shared" si="6"/>
        <v>-55320.979999999996</v>
      </c>
      <c r="R396" s="1" t="s">
        <v>83</v>
      </c>
    </row>
    <row r="397" spans="1:18" ht="36" x14ac:dyDescent="0.25">
      <c r="A397" s="2" t="s">
        <v>201</v>
      </c>
      <c r="B397" s="2">
        <v>2033</v>
      </c>
      <c r="C397" s="3">
        <v>44169</v>
      </c>
      <c r="D397" s="2" t="s">
        <v>205</v>
      </c>
      <c r="E397" s="3">
        <v>44167</v>
      </c>
      <c r="F397" s="2">
        <v>0</v>
      </c>
      <c r="G397" s="2">
        <v>0</v>
      </c>
      <c r="H397" s="3">
        <v>44170</v>
      </c>
      <c r="I397" s="3">
        <v>44229</v>
      </c>
      <c r="J397" s="2" t="s">
        <v>17</v>
      </c>
      <c r="K397" s="2">
        <v>969</v>
      </c>
      <c r="L397" s="2">
        <v>0</v>
      </c>
      <c r="M397" s="2">
        <v>969</v>
      </c>
      <c r="N397" s="2">
        <v>-59</v>
      </c>
      <c r="O397" s="4">
        <f t="shared" si="6"/>
        <v>-57171</v>
      </c>
      <c r="R397" s="1" t="s">
        <v>203</v>
      </c>
    </row>
    <row r="398" spans="1:18" x14ac:dyDescent="0.25">
      <c r="A398" s="2" t="s">
        <v>204</v>
      </c>
      <c r="B398" s="2">
        <v>1819</v>
      </c>
      <c r="C398" s="3">
        <v>44141</v>
      </c>
      <c r="D398" s="2" t="str">
        <f>"13743"</f>
        <v>13743</v>
      </c>
      <c r="E398" s="3">
        <v>44134</v>
      </c>
      <c r="F398" s="2">
        <v>0</v>
      </c>
      <c r="G398" s="2">
        <v>0</v>
      </c>
      <c r="H398" s="3">
        <v>44142</v>
      </c>
      <c r="I398" s="3">
        <v>44201</v>
      </c>
      <c r="J398" s="2" t="s">
        <v>17</v>
      </c>
      <c r="K398" s="2">
        <v>350.42</v>
      </c>
      <c r="L398" s="2">
        <v>0</v>
      </c>
      <c r="M398" s="2">
        <v>350.42</v>
      </c>
      <c r="N398" s="2">
        <v>-59</v>
      </c>
      <c r="O398" s="4">
        <f t="shared" si="6"/>
        <v>-20674.780000000002</v>
      </c>
      <c r="R398" s="1" t="s">
        <v>14</v>
      </c>
    </row>
    <row r="399" spans="1:18" ht="36" x14ac:dyDescent="0.25">
      <c r="A399" s="2" t="s">
        <v>201</v>
      </c>
      <c r="B399" s="2">
        <v>1597</v>
      </c>
      <c r="C399" s="3">
        <v>44107</v>
      </c>
      <c r="D399" s="2" t="s">
        <v>206</v>
      </c>
      <c r="E399" s="3">
        <v>44106</v>
      </c>
      <c r="F399" s="2">
        <v>0</v>
      </c>
      <c r="G399" s="2">
        <v>0</v>
      </c>
      <c r="H399" s="3">
        <v>44107</v>
      </c>
      <c r="I399" s="3">
        <v>44167</v>
      </c>
      <c r="J399" s="2" t="s">
        <v>17</v>
      </c>
      <c r="K399" s="4">
        <v>1111.5</v>
      </c>
      <c r="L399" s="2">
        <v>0</v>
      </c>
      <c r="M399" s="4">
        <v>1111.5</v>
      </c>
      <c r="N399" s="2">
        <v>-60</v>
      </c>
      <c r="O399" s="4">
        <f t="shared" si="6"/>
        <v>-66690</v>
      </c>
      <c r="R399" s="1" t="s">
        <v>203</v>
      </c>
    </row>
    <row r="400" spans="1:18" x14ac:dyDescent="0.25">
      <c r="A400" s="2" t="s">
        <v>166</v>
      </c>
      <c r="B400" s="2">
        <v>1791</v>
      </c>
      <c r="C400" s="3">
        <v>44135</v>
      </c>
      <c r="D400" s="2" t="str">
        <f>"0002139691"</f>
        <v>0002139691</v>
      </c>
      <c r="E400" s="3">
        <v>44120</v>
      </c>
      <c r="F400" s="2">
        <v>0</v>
      </c>
      <c r="G400" s="2">
        <v>0</v>
      </c>
      <c r="H400" s="3">
        <v>44135</v>
      </c>
      <c r="I400" s="3">
        <v>44196</v>
      </c>
      <c r="J400" s="2" t="s">
        <v>17</v>
      </c>
      <c r="K400" s="2">
        <v>500.2</v>
      </c>
      <c r="L400" s="2">
        <v>90.2</v>
      </c>
      <c r="M400" s="2">
        <v>410</v>
      </c>
      <c r="N400" s="2">
        <v>-61</v>
      </c>
      <c r="O400" s="4">
        <f t="shared" si="6"/>
        <v>-25010</v>
      </c>
      <c r="R400" s="1" t="s">
        <v>167</v>
      </c>
    </row>
    <row r="401" spans="1:18" x14ac:dyDescent="0.25">
      <c r="A401" s="2" t="s">
        <v>198</v>
      </c>
      <c r="B401" s="2">
        <v>1788</v>
      </c>
      <c r="C401" s="3">
        <v>44135</v>
      </c>
      <c r="D401" s="2" t="s">
        <v>207</v>
      </c>
      <c r="E401" s="3">
        <v>44127</v>
      </c>
      <c r="F401" s="2">
        <v>0</v>
      </c>
      <c r="G401" s="2">
        <v>0</v>
      </c>
      <c r="H401" s="3">
        <v>44135</v>
      </c>
      <c r="I401" s="3">
        <v>44196</v>
      </c>
      <c r="J401" s="2" t="s">
        <v>17</v>
      </c>
      <c r="K401" s="2">
        <v>366</v>
      </c>
      <c r="L401" s="2">
        <v>66</v>
      </c>
      <c r="M401" s="2">
        <v>300</v>
      </c>
      <c r="N401" s="2">
        <v>-61</v>
      </c>
      <c r="O401" s="4">
        <f t="shared" si="6"/>
        <v>-18300</v>
      </c>
      <c r="R401" s="1" t="s">
        <v>167</v>
      </c>
    </row>
    <row r="402" spans="1:18" x14ac:dyDescent="0.25">
      <c r="A402" s="2" t="s">
        <v>174</v>
      </c>
      <c r="B402" s="2">
        <v>1860</v>
      </c>
      <c r="C402" s="3">
        <v>44149</v>
      </c>
      <c r="D402" s="2" t="str">
        <f>"7400039390"</f>
        <v>7400039390</v>
      </c>
      <c r="E402" s="3">
        <v>44135</v>
      </c>
      <c r="F402" s="2">
        <v>0</v>
      </c>
      <c r="G402" s="2">
        <v>0</v>
      </c>
      <c r="H402" s="3">
        <v>44149</v>
      </c>
      <c r="I402" s="3">
        <v>44210</v>
      </c>
      <c r="J402" s="2" t="s">
        <v>17</v>
      </c>
      <c r="K402" s="4">
        <v>1078.22</v>
      </c>
      <c r="L402" s="2">
        <v>41.47</v>
      </c>
      <c r="M402" s="4">
        <v>1036.75</v>
      </c>
      <c r="N402" s="2">
        <v>-61</v>
      </c>
      <c r="O402" s="4">
        <f t="shared" si="6"/>
        <v>-63241.75</v>
      </c>
      <c r="R402" s="1" t="s">
        <v>83</v>
      </c>
    </row>
    <row r="403" spans="1:18" x14ac:dyDescent="0.25">
      <c r="A403" s="2" t="s">
        <v>174</v>
      </c>
      <c r="B403" s="2">
        <v>1838</v>
      </c>
      <c r="C403" s="3">
        <v>44147</v>
      </c>
      <c r="D403" s="2" t="str">
        <f>"7400039389"</f>
        <v>7400039389</v>
      </c>
      <c r="E403" s="3">
        <v>44135</v>
      </c>
      <c r="F403" s="2">
        <v>0</v>
      </c>
      <c r="G403" s="2">
        <v>0</v>
      </c>
      <c r="H403" s="3">
        <v>44149</v>
      </c>
      <c r="I403" s="3">
        <v>44210</v>
      </c>
      <c r="J403" s="2" t="s">
        <v>17</v>
      </c>
      <c r="K403" s="4">
        <v>15816.51</v>
      </c>
      <c r="L403" s="2">
        <v>608.33000000000004</v>
      </c>
      <c r="M403" s="4">
        <v>15208.18</v>
      </c>
      <c r="N403" s="2">
        <v>-61</v>
      </c>
      <c r="O403" s="4">
        <f t="shared" si="6"/>
        <v>-927698.98</v>
      </c>
      <c r="R403" s="1" t="s">
        <v>83</v>
      </c>
    </row>
    <row r="404" spans="1:18" x14ac:dyDescent="0.25">
      <c r="A404" s="2" t="s">
        <v>204</v>
      </c>
      <c r="B404" s="2">
        <v>2034</v>
      </c>
      <c r="C404" s="3">
        <v>44169</v>
      </c>
      <c r="D404" s="2" t="str">
        <f>"16079"</f>
        <v>16079</v>
      </c>
      <c r="E404" s="3">
        <v>44165</v>
      </c>
      <c r="F404" s="2">
        <v>0</v>
      </c>
      <c r="G404" s="2">
        <v>0</v>
      </c>
      <c r="H404" s="3">
        <v>44170</v>
      </c>
      <c r="I404" s="3">
        <v>44233</v>
      </c>
      <c r="J404" s="2" t="s">
        <v>17</v>
      </c>
      <c r="K404" s="2">
        <v>232.89</v>
      </c>
      <c r="L404" s="2">
        <v>0</v>
      </c>
      <c r="M404" s="2">
        <v>232.89</v>
      </c>
      <c r="N404" s="2">
        <v>-63</v>
      </c>
      <c r="O404" s="4">
        <f t="shared" si="6"/>
        <v>-14672.07</v>
      </c>
      <c r="R404" s="1" t="s">
        <v>14</v>
      </c>
    </row>
    <row r="405" spans="1:18" x14ac:dyDescent="0.25">
      <c r="A405" s="2" t="s">
        <v>174</v>
      </c>
      <c r="B405" s="2">
        <v>2054</v>
      </c>
      <c r="C405" s="3">
        <v>44176</v>
      </c>
      <c r="D405" s="2" t="str">
        <f>"7400044511"</f>
        <v>7400044511</v>
      </c>
      <c r="E405" s="3">
        <v>44165</v>
      </c>
      <c r="F405" s="2">
        <v>0</v>
      </c>
      <c r="G405" s="2">
        <v>0</v>
      </c>
      <c r="H405" s="3">
        <v>44177</v>
      </c>
      <c r="I405" s="3">
        <v>44240</v>
      </c>
      <c r="J405" s="2" t="s">
        <v>17</v>
      </c>
      <c r="K405" s="4">
        <v>15259.75</v>
      </c>
      <c r="L405" s="2">
        <v>586.91</v>
      </c>
      <c r="M405" s="4">
        <v>14672.84</v>
      </c>
      <c r="N405" s="2">
        <v>-63</v>
      </c>
      <c r="O405" s="4">
        <f t="shared" si="6"/>
        <v>-924388.92</v>
      </c>
      <c r="R405" s="1" t="s">
        <v>83</v>
      </c>
    </row>
    <row r="406" spans="1:18" x14ac:dyDescent="0.25">
      <c r="A406" s="2" t="s">
        <v>204</v>
      </c>
      <c r="B406" s="2">
        <v>1598</v>
      </c>
      <c r="C406" s="3">
        <v>44107</v>
      </c>
      <c r="D406" s="2" t="str">
        <f>"11731"</f>
        <v>11731</v>
      </c>
      <c r="E406" s="3">
        <v>44104</v>
      </c>
      <c r="F406" s="2">
        <v>0</v>
      </c>
      <c r="G406" s="2">
        <v>0</v>
      </c>
      <c r="H406" s="3">
        <v>44107</v>
      </c>
      <c r="I406" s="3">
        <v>44171</v>
      </c>
      <c r="J406" s="2" t="s">
        <v>17</v>
      </c>
      <c r="K406" s="2">
        <v>13.3</v>
      </c>
      <c r="L406" s="2">
        <v>0</v>
      </c>
      <c r="M406" s="2">
        <v>13.3</v>
      </c>
      <c r="N406" s="2">
        <v>-64</v>
      </c>
      <c r="O406" s="4">
        <f t="shared" si="6"/>
        <v>-851.2</v>
      </c>
      <c r="R406" s="1" t="s">
        <v>14</v>
      </c>
    </row>
    <row r="407" spans="1:18" ht="24" x14ac:dyDescent="0.25">
      <c r="A407" s="2" t="s">
        <v>208</v>
      </c>
      <c r="B407" s="2">
        <v>1765</v>
      </c>
      <c r="C407" s="3">
        <v>44128</v>
      </c>
      <c r="D407" s="2" t="s">
        <v>209</v>
      </c>
      <c r="E407" s="3">
        <v>44126</v>
      </c>
      <c r="F407" s="2">
        <v>0</v>
      </c>
      <c r="G407" s="2">
        <v>0</v>
      </c>
      <c r="H407" s="3">
        <v>44128</v>
      </c>
      <c r="I407" s="3">
        <v>44196</v>
      </c>
      <c r="J407" s="2" t="s">
        <v>17</v>
      </c>
      <c r="K407" s="2">
        <v>402.6</v>
      </c>
      <c r="L407" s="2">
        <v>72.599999999999994</v>
      </c>
      <c r="M407" s="2">
        <v>330</v>
      </c>
      <c r="N407" s="2">
        <v>-68</v>
      </c>
      <c r="O407" s="4">
        <f t="shared" si="6"/>
        <v>-22440</v>
      </c>
      <c r="R407" s="1" t="s">
        <v>203</v>
      </c>
    </row>
    <row r="408" spans="1:18" x14ac:dyDescent="0.25">
      <c r="A408" s="2" t="s">
        <v>210</v>
      </c>
      <c r="B408" s="2">
        <v>2175</v>
      </c>
      <c r="C408" s="3">
        <v>44183</v>
      </c>
      <c r="D408" s="2" t="s">
        <v>211</v>
      </c>
      <c r="E408" s="3">
        <v>44180</v>
      </c>
      <c r="F408" s="2">
        <v>0</v>
      </c>
      <c r="G408" s="2">
        <v>0</v>
      </c>
      <c r="H408" s="3">
        <v>44184</v>
      </c>
      <c r="I408" s="3">
        <v>44255</v>
      </c>
      <c r="J408" s="2" t="s">
        <v>17</v>
      </c>
      <c r="K408" s="2">
        <v>409.55</v>
      </c>
      <c r="L408" s="2">
        <v>73.849999999999994</v>
      </c>
      <c r="M408" s="2">
        <v>335.7</v>
      </c>
      <c r="N408" s="2">
        <v>-71</v>
      </c>
      <c r="O408" s="4">
        <f t="shared" si="6"/>
        <v>-23834.7</v>
      </c>
      <c r="R408" s="1" t="s">
        <v>68</v>
      </c>
    </row>
    <row r="409" spans="1:18" ht="24" x14ac:dyDescent="0.25">
      <c r="A409" s="2" t="s">
        <v>189</v>
      </c>
      <c r="B409" s="2">
        <v>2168</v>
      </c>
      <c r="C409" s="3">
        <v>44183</v>
      </c>
      <c r="D409" s="2" t="s">
        <v>212</v>
      </c>
      <c r="E409" s="3">
        <v>44175</v>
      </c>
      <c r="F409" s="2">
        <v>0</v>
      </c>
      <c r="G409" s="2">
        <v>0</v>
      </c>
      <c r="H409" s="3">
        <v>44184</v>
      </c>
      <c r="I409" s="3">
        <v>44255</v>
      </c>
      <c r="J409" s="2" t="s">
        <v>17</v>
      </c>
      <c r="K409" s="4">
        <v>1032</v>
      </c>
      <c r="L409" s="2">
        <v>0</v>
      </c>
      <c r="M409" s="4">
        <v>1032</v>
      </c>
      <c r="N409" s="2">
        <v>-71</v>
      </c>
      <c r="O409" s="4">
        <f t="shared" si="6"/>
        <v>-73272</v>
      </c>
      <c r="R409" s="1" t="s">
        <v>124</v>
      </c>
    </row>
    <row r="410" spans="1:18" ht="24" x14ac:dyDescent="0.25">
      <c r="A410" s="2" t="s">
        <v>189</v>
      </c>
      <c r="B410" s="2">
        <v>2169</v>
      </c>
      <c r="C410" s="3">
        <v>44183</v>
      </c>
      <c r="D410" s="2" t="s">
        <v>213</v>
      </c>
      <c r="E410" s="3">
        <v>44182</v>
      </c>
      <c r="F410" s="2">
        <v>0</v>
      </c>
      <c r="G410" s="2">
        <v>0</v>
      </c>
      <c r="H410" s="3">
        <v>44184</v>
      </c>
      <c r="I410" s="3">
        <v>44255</v>
      </c>
      <c r="J410" s="2" t="s">
        <v>17</v>
      </c>
      <c r="K410" s="2">
        <v>262</v>
      </c>
      <c r="L410" s="2">
        <v>0</v>
      </c>
      <c r="M410" s="2">
        <v>262</v>
      </c>
      <c r="N410" s="2">
        <v>-71</v>
      </c>
      <c r="O410" s="4">
        <f t="shared" si="6"/>
        <v>-18602</v>
      </c>
      <c r="R410" s="1" t="s">
        <v>124</v>
      </c>
    </row>
    <row r="411" spans="1:18" x14ac:dyDescent="0.25">
      <c r="A411" s="2" t="s">
        <v>198</v>
      </c>
      <c r="B411" s="2">
        <v>2170</v>
      </c>
      <c r="C411" s="3">
        <v>44183</v>
      </c>
      <c r="D411" s="2" t="s">
        <v>214</v>
      </c>
      <c r="E411" s="3">
        <v>44179</v>
      </c>
      <c r="F411" s="2">
        <v>0</v>
      </c>
      <c r="G411" s="2">
        <v>0</v>
      </c>
      <c r="H411" s="3">
        <v>44184</v>
      </c>
      <c r="I411" s="3">
        <v>44255</v>
      </c>
      <c r="J411" s="2" t="s">
        <v>17</v>
      </c>
      <c r="K411" s="2">
        <v>629.52</v>
      </c>
      <c r="L411" s="2">
        <v>113.52</v>
      </c>
      <c r="M411" s="2">
        <v>516</v>
      </c>
      <c r="N411" s="2">
        <v>-71</v>
      </c>
      <c r="O411" s="4">
        <f t="shared" si="6"/>
        <v>-36636</v>
      </c>
      <c r="R411" s="1" t="s">
        <v>167</v>
      </c>
    </row>
    <row r="412" spans="1:18" ht="24" x14ac:dyDescent="0.25">
      <c r="A412" s="2" t="s">
        <v>170</v>
      </c>
      <c r="B412" s="2">
        <v>2183</v>
      </c>
      <c r="C412" s="3">
        <v>44183</v>
      </c>
      <c r="D412" s="2" t="s">
        <v>215</v>
      </c>
      <c r="E412" s="3">
        <v>44181</v>
      </c>
      <c r="F412" s="2">
        <v>0</v>
      </c>
      <c r="G412" s="2">
        <v>0</v>
      </c>
      <c r="H412" s="3">
        <v>44184</v>
      </c>
      <c r="I412" s="3">
        <v>44255</v>
      </c>
      <c r="J412" s="2" t="s">
        <v>17</v>
      </c>
      <c r="K412" s="4">
        <v>3700</v>
      </c>
      <c r="L412" s="2">
        <v>336.36</v>
      </c>
      <c r="M412" s="4">
        <v>3363.64</v>
      </c>
      <c r="N412" s="2">
        <v>-71</v>
      </c>
      <c r="O412" s="4">
        <f t="shared" si="6"/>
        <v>-238818.44</v>
      </c>
      <c r="R412" s="1" t="s">
        <v>164</v>
      </c>
    </row>
    <row r="413" spans="1:18" x14ac:dyDescent="0.25">
      <c r="A413" s="2" t="s">
        <v>216</v>
      </c>
      <c r="B413" s="2">
        <v>1870</v>
      </c>
      <c r="C413" s="3">
        <v>44155</v>
      </c>
      <c r="D413" s="2" t="s">
        <v>217</v>
      </c>
      <c r="E413" s="3">
        <v>44145</v>
      </c>
      <c r="F413" s="2">
        <v>0</v>
      </c>
      <c r="G413" s="2">
        <v>0</v>
      </c>
      <c r="H413" s="3">
        <v>44156</v>
      </c>
      <c r="I413" s="3">
        <v>44227</v>
      </c>
      <c r="J413" s="2" t="s">
        <v>17</v>
      </c>
      <c r="K413" s="2">
        <v>871.19</v>
      </c>
      <c r="L413" s="2">
        <v>157.1</v>
      </c>
      <c r="M413" s="2">
        <v>714.09</v>
      </c>
      <c r="N413" s="2">
        <v>-71</v>
      </c>
      <c r="O413" s="4">
        <f t="shared" si="6"/>
        <v>-50700.39</v>
      </c>
      <c r="R413" s="1" t="s">
        <v>167</v>
      </c>
    </row>
    <row r="414" spans="1:18" ht="24" x14ac:dyDescent="0.25">
      <c r="A414" s="2" t="s">
        <v>170</v>
      </c>
      <c r="B414" s="2">
        <v>1672</v>
      </c>
      <c r="C414" s="3">
        <v>44121</v>
      </c>
      <c r="D414" s="2" t="s">
        <v>218</v>
      </c>
      <c r="E414" s="3">
        <v>44119</v>
      </c>
      <c r="F414" s="2">
        <v>0</v>
      </c>
      <c r="G414" s="2">
        <v>0</v>
      </c>
      <c r="H414" s="3">
        <v>44121</v>
      </c>
      <c r="I414" s="3">
        <v>44196</v>
      </c>
      <c r="J414" s="2" t="s">
        <v>17</v>
      </c>
      <c r="K414" s="4">
        <v>6255.63</v>
      </c>
      <c r="L414" s="2">
        <v>568.69000000000005</v>
      </c>
      <c r="M414" s="4">
        <v>5686.94</v>
      </c>
      <c r="N414" s="2">
        <v>-75</v>
      </c>
      <c r="O414" s="4">
        <f t="shared" si="6"/>
        <v>-426520.49999999994</v>
      </c>
      <c r="R414" s="1" t="s">
        <v>164</v>
      </c>
    </row>
    <row r="415" spans="1:18" x14ac:dyDescent="0.25">
      <c r="A415" s="2" t="s">
        <v>219</v>
      </c>
      <c r="B415" s="2">
        <v>1842</v>
      </c>
      <c r="C415" s="3">
        <v>44147</v>
      </c>
      <c r="D415" s="2" t="s">
        <v>220</v>
      </c>
      <c r="E415" s="3">
        <v>44144</v>
      </c>
      <c r="F415" s="2">
        <v>0</v>
      </c>
      <c r="G415" s="2">
        <v>0</v>
      </c>
      <c r="H415" s="3">
        <v>44149</v>
      </c>
      <c r="I415" s="3">
        <v>44227</v>
      </c>
      <c r="J415" s="2" t="s">
        <v>17</v>
      </c>
      <c r="K415" s="2">
        <v>625</v>
      </c>
      <c r="L415" s="2">
        <v>0</v>
      </c>
      <c r="M415" s="2">
        <v>625</v>
      </c>
      <c r="N415" s="2">
        <v>-78</v>
      </c>
      <c r="O415" s="4">
        <f t="shared" si="6"/>
        <v>-48750</v>
      </c>
      <c r="R415" s="1" t="s">
        <v>145</v>
      </c>
    </row>
    <row r="416" spans="1:18" ht="24" x14ac:dyDescent="0.25">
      <c r="A416" s="2" t="s">
        <v>221</v>
      </c>
      <c r="B416" s="2">
        <v>0</v>
      </c>
      <c r="C416" s="2"/>
      <c r="D416" s="2" t="s">
        <v>222</v>
      </c>
      <c r="E416" s="2"/>
      <c r="F416" s="2">
        <v>0</v>
      </c>
      <c r="G416" s="2">
        <v>0</v>
      </c>
      <c r="H416" s="2"/>
      <c r="I416" s="2"/>
      <c r="J416" s="2"/>
      <c r="K416" s="4">
        <f>SUM(K2:K415)</f>
        <v>689217.68999999936</v>
      </c>
      <c r="L416" s="4">
        <f t="shared" ref="L416:M416" si="7">SUM(L2:L415)</f>
        <v>67180.270000000048</v>
      </c>
      <c r="M416" s="4">
        <f t="shared" si="7"/>
        <v>622037.41999999993</v>
      </c>
      <c r="N416" s="5">
        <f>+O416/M416</f>
        <v>-29.287980038242747</v>
      </c>
      <c r="O416" s="4">
        <f>SUM(O2:O415)</f>
        <v>-18218219.540000018</v>
      </c>
      <c r="R416" s="1" t="s">
        <v>223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L_RIT</vt:lpstr>
      <vt:lpstr>L_RIT!Titoli_stampa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Tomezzoli</dc:creator>
  <cp:lastModifiedBy>Nicola Tomezzoli</cp:lastModifiedBy>
  <dcterms:created xsi:type="dcterms:W3CDTF">2021-01-08T11:32:38Z</dcterms:created>
  <dcterms:modified xsi:type="dcterms:W3CDTF">2021-01-08T12:08:07Z</dcterms:modified>
</cp:coreProperties>
</file>