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PDC\AreaDoc\nicola-tomezzoli\2020\INDICATORE TEMPESTIVITA' DEI PAGAMENTI\II Trimestre 2020\"/>
    </mc:Choice>
  </mc:AlternateContent>
  <xr:revisionPtr revIDLastSave="0" documentId="13_ncr:40009_{AFA1D322-5928-448B-BD08-DDC625AD6964}" xr6:coauthVersionLast="45" xr6:coauthVersionMax="45" xr10:uidLastSave="{00000000-0000-0000-0000-000000000000}"/>
  <bookViews>
    <workbookView xWindow="-120" yWindow="-120" windowWidth="19440" windowHeight="15000"/>
  </bookViews>
  <sheets>
    <sheet name="elenco fatture" sheetId="1" r:id="rId1"/>
  </sheets>
  <definedNames>
    <definedName name="_xlnm.Print_Titles" localSheetId="0">'elenco fatture'!$1:$1</definedName>
  </definedNames>
  <calcPr calcId="0"/>
</workbook>
</file>

<file path=xl/calcChain.xml><?xml version="1.0" encoding="utf-8"?>
<calcChain xmlns="http://schemas.openxmlformats.org/spreadsheetml/2006/main">
  <c r="N235" i="1" l="1"/>
  <c r="M235" i="1"/>
  <c r="O235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" i="1"/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8" i="1"/>
  <c r="D29" i="1"/>
  <c r="D30" i="1"/>
  <c r="D31" i="1"/>
  <c r="D32" i="1"/>
  <c r="D33" i="1"/>
  <c r="D34" i="1"/>
  <c r="D35" i="1"/>
  <c r="D36" i="1"/>
  <c r="D72" i="1"/>
  <c r="D73" i="1"/>
  <c r="D87" i="1"/>
  <c r="D88" i="1"/>
  <c r="D96" i="1"/>
  <c r="D97" i="1"/>
  <c r="D98" i="1"/>
  <c r="D99" i="1"/>
  <c r="D100" i="1"/>
  <c r="D101" i="1"/>
  <c r="D102" i="1"/>
  <c r="D107" i="1"/>
  <c r="D112" i="1"/>
  <c r="D113" i="1"/>
  <c r="D114" i="1"/>
  <c r="D115" i="1"/>
  <c r="D123" i="1"/>
  <c r="D124" i="1"/>
  <c r="D125" i="1"/>
  <c r="D126" i="1"/>
  <c r="D127" i="1"/>
  <c r="D128" i="1"/>
  <c r="D129" i="1"/>
  <c r="D130" i="1"/>
  <c r="D131" i="1"/>
  <c r="D132" i="1"/>
  <c r="D133" i="1"/>
  <c r="D135" i="1"/>
  <c r="D136" i="1"/>
  <c r="D141" i="1"/>
  <c r="D143" i="1"/>
  <c r="D147" i="1"/>
  <c r="D148" i="1"/>
  <c r="D149" i="1"/>
  <c r="D150" i="1"/>
  <c r="D151" i="1"/>
  <c r="D152" i="1"/>
  <c r="D153" i="1"/>
  <c r="D154" i="1"/>
  <c r="D157" i="1"/>
  <c r="D158" i="1"/>
  <c r="D159" i="1"/>
  <c r="D160" i="1"/>
  <c r="D165" i="1"/>
  <c r="D168" i="1"/>
  <c r="D169" i="1"/>
  <c r="D170" i="1"/>
  <c r="D171" i="1"/>
  <c r="D173" i="1"/>
  <c r="D174" i="1"/>
  <c r="D180" i="1"/>
  <c r="D183" i="1"/>
  <c r="D184" i="1"/>
  <c r="D187" i="1"/>
  <c r="D188" i="1"/>
  <c r="D189" i="1"/>
  <c r="D190" i="1"/>
  <c r="D191" i="1"/>
  <c r="D192" i="1"/>
  <c r="D193" i="1"/>
  <c r="D194" i="1"/>
  <c r="D199" i="1"/>
  <c r="D204" i="1"/>
  <c r="D205" i="1"/>
  <c r="D207" i="1"/>
  <c r="D208" i="1"/>
  <c r="D209" i="1"/>
  <c r="D214" i="1"/>
  <c r="D215" i="1"/>
  <c r="D216" i="1"/>
  <c r="D217" i="1"/>
  <c r="D218" i="1"/>
  <c r="D230" i="1"/>
  <c r="D231" i="1"/>
</calcChain>
</file>

<file path=xl/sharedStrings.xml><?xml version="1.0" encoding="utf-8"?>
<sst xmlns="http://schemas.openxmlformats.org/spreadsheetml/2006/main" count="1085" uniqueCount="240">
  <si>
    <t>Beneficiario</t>
  </si>
  <si>
    <t>Mandato</t>
  </si>
  <si>
    <t>Data mandato</t>
  </si>
  <si>
    <t>Num. fattura</t>
  </si>
  <si>
    <t>Data fattura</t>
  </si>
  <si>
    <t>Nr.bolletta .</t>
  </si>
  <si>
    <t>Nr.carta cont.</t>
  </si>
  <si>
    <t>Data pagamento</t>
  </si>
  <si>
    <t>Data scadenza</t>
  </si>
  <si>
    <t>Data rif.(#)</t>
  </si>
  <si>
    <t>Importo</t>
  </si>
  <si>
    <t>Iva split</t>
  </si>
  <si>
    <t>Netto</t>
  </si>
  <si>
    <t>GG diff.</t>
  </si>
  <si>
    <t>Prodotto</t>
  </si>
  <si>
    <t>Stato MEF</t>
  </si>
  <si>
    <t>Causale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</si>
  <si>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</si>
  <si>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GESTORE DEI SERVIZI ELETTRICI SPA</t>
  </si>
  <si>
    <t>S</t>
  </si>
  <si>
    <t>Liquidato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</si>
  <si>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</si>
  <si>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</si>
  <si>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DOLOMITI ENERGIA SPA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</si>
  <si>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</si>
  <si>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 STUDIO DI ROMOLI GLAUCO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</si>
  <si>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</si>
  <si>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DIREZ.PROV.PP.TT.-RAGIONER.PROV.MACCHINE AFFRANCATRICE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</si>
  <si>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</si>
  <si>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GLOBAL POWER SPA</t>
  </si>
  <si>
    <t>V0/47052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</si>
  <si>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</si>
  <si>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V0/47056</t>
  </si>
  <si>
    <t>V0/47047</t>
  </si>
  <si>
    <t>V0/47053</t>
  </si>
  <si>
    <t>V0/47051</t>
  </si>
  <si>
    <t>V0/47050</t>
  </si>
  <si>
    <t>V0/47049</t>
  </si>
  <si>
    <t>V0/47055</t>
  </si>
  <si>
    <t>V0/47054</t>
  </si>
  <si>
    <t>V0/47057</t>
  </si>
  <si>
    <t>V0/47048</t>
  </si>
  <si>
    <t>ACQUE VERONESI S.C.A.R.L.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</si>
  <si>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</si>
  <si>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C.A.M.V.O. S.p.A.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</si>
  <si>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</si>
  <si>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V0/5044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</si>
  <si>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</si>
  <si>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V0/26036</t>
  </si>
  <si>
    <t>V0/26038</t>
  </si>
  <si>
    <t>V0/185102</t>
  </si>
  <si>
    <t>V0/26037</t>
  </si>
  <si>
    <t>V0/89984</t>
  </si>
  <si>
    <t>V0/5045</t>
  </si>
  <si>
    <t>V0/165787</t>
  </si>
  <si>
    <t>V0/5043</t>
  </si>
  <si>
    <t>V0/165785</t>
  </si>
  <si>
    <t>V0/5047</t>
  </si>
  <si>
    <t>V0/5049</t>
  </si>
  <si>
    <t>V0/185107</t>
  </si>
  <si>
    <t>V0/185110</t>
  </si>
  <si>
    <t>V0/185104</t>
  </si>
  <si>
    <t>V0/26044</t>
  </si>
  <si>
    <t>V0/165783</t>
  </si>
  <si>
    <t>V0/5052</t>
  </si>
  <si>
    <t>V0/165781</t>
  </si>
  <si>
    <t>V0/68919</t>
  </si>
  <si>
    <t>V0/5042</t>
  </si>
  <si>
    <t>V0/165784</t>
  </si>
  <si>
    <t>V0/5050</t>
  </si>
  <si>
    <t>V0/165782</t>
  </si>
  <si>
    <t>V0/5048</t>
  </si>
  <si>
    <t>V0/185103</t>
  </si>
  <si>
    <t>V0/185111</t>
  </si>
  <si>
    <t>V0/185106</t>
  </si>
  <si>
    <t>V0/5051</t>
  </si>
  <si>
    <t>V0/165788</t>
  </si>
  <si>
    <t>V0/5046</t>
  </si>
  <si>
    <t>V0/165786</t>
  </si>
  <si>
    <t>V0/185108</t>
  </si>
  <si>
    <t>V0/185105</t>
  </si>
  <si>
    <t>ESSEFFE  VEA S.R.L.</t>
  </si>
  <si>
    <t>FC0001172-0</t>
  </si>
  <si>
    <t>CONSORZIO ENERGIA VENETO</t>
  </si>
  <si>
    <t>294-2020-01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</si>
  <si>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</si>
  <si>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314-2020-01</t>
  </si>
  <si>
    <t>392-2020-01</t>
  </si>
  <si>
    <t>V0/68923</t>
  </si>
  <si>
    <t>V0/68917</t>
  </si>
  <si>
    <t>V0/68926</t>
  </si>
  <si>
    <t>V0/68924</t>
  </si>
  <si>
    <t>V0/68925</t>
  </si>
  <si>
    <t>V0/68921</t>
  </si>
  <si>
    <t>V0/68927</t>
  </si>
  <si>
    <t>V0/68918</t>
  </si>
  <si>
    <t>V0/68920</t>
  </si>
  <si>
    <t>V0/68922</t>
  </si>
  <si>
    <t>V0/26043</t>
  </si>
  <si>
    <t>V0/26039</t>
  </si>
  <si>
    <t>V0/26042</t>
  </si>
  <si>
    <t>V0/26041</t>
  </si>
  <si>
    <t>V0/26040</t>
  </si>
  <si>
    <t>V0/26045</t>
  </si>
  <si>
    <t>V0/26046</t>
  </si>
  <si>
    <t>AUTOFFICINA SGANZERLA MAURIZIO</t>
  </si>
  <si>
    <t>MAGGIOLI S.P.A.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</si>
  <si>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</si>
  <si>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TERMOIDRAULICA ZONZINI PIETRO SRL</t>
  </si>
  <si>
    <t>4/PA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</si>
  <si>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</si>
  <si>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I.C.A. IMPOSTE COMUNALI AFFINI S.R.L.</t>
  </si>
  <si>
    <t>FE0002280</t>
  </si>
  <si>
    <t>FE0003330</t>
  </si>
  <si>
    <t>FONDAZIONE DISCANTO</t>
  </si>
  <si>
    <t>FPA 1/20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</si>
  <si>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</si>
  <si>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V0/89992</t>
  </si>
  <si>
    <t>V0/89991</t>
  </si>
  <si>
    <t>V0/89993</t>
  </si>
  <si>
    <t>V0/89994</t>
  </si>
  <si>
    <t>SUPERMERCATI TOSANO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</si>
  <si>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</si>
  <si>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FONDAZIONE GIOVANNI MERITANI</t>
  </si>
  <si>
    <t>19/E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</si>
  <si>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</si>
  <si>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V0/89990</t>
  </si>
  <si>
    <t>V0/89989</t>
  </si>
  <si>
    <t>V0/89986</t>
  </si>
  <si>
    <t>V0/89988</t>
  </si>
  <si>
    <t>V0/89985</t>
  </si>
  <si>
    <t>V0/89987</t>
  </si>
  <si>
    <t>DELTA ENERGY S.R.L. U.S.</t>
  </si>
  <si>
    <t>WELCOME ITALIA SPA</t>
  </si>
  <si>
    <t>GUERRA FABRIZIO TINTEGGIATURE E DECORAZIONI</t>
  </si>
  <si>
    <t>32-FE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</si>
  <si>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</si>
  <si>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NUOVA RADAR COOP s.c.r.l.</t>
  </si>
  <si>
    <t>SIVE S.R.L.</t>
  </si>
  <si>
    <t>FE0002298</t>
  </si>
  <si>
    <t>FE0002885</t>
  </si>
  <si>
    <t>GLOBAL POWER SERVICE SPA</t>
  </si>
  <si>
    <t>2020-V5-67</t>
  </si>
  <si>
    <t>2020-V5-115</t>
  </si>
  <si>
    <t>SOLUZIONE SRL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</si>
  <si>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</si>
  <si>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AZIENDA U.L.S.S. 09 SCALIGERA</t>
  </si>
  <si>
    <t>244/26</t>
  </si>
  <si>
    <t>FE0003337</t>
  </si>
  <si>
    <t>214/68</t>
  </si>
  <si>
    <t>FABBI IMOLA</t>
  </si>
  <si>
    <t>20/000142/PS</t>
  </si>
  <si>
    <t>GARZON ALESSANDRO</t>
  </si>
  <si>
    <t>71/01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</si>
  <si>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</si>
  <si>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MORANDO FRANCESCO</t>
  </si>
  <si>
    <t>142/E</t>
  </si>
  <si>
    <t>2020-V5-96</t>
  </si>
  <si>
    <t>41/E</t>
  </si>
  <si>
    <t>42/E</t>
  </si>
  <si>
    <t>GIANNI SBIZZERA</t>
  </si>
  <si>
    <t>6/PA</t>
  </si>
  <si>
    <t>PROTEKO NORDEST SRL</t>
  </si>
  <si>
    <t>25/PA</t>
  </si>
  <si>
    <t>INTERNAVIGARE SRL</t>
  </si>
  <si>
    <t>BELLINI GIOVANNI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</si>
  <si>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</si>
  <si>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STIL MARMO DI DAL MASO LUCA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</si>
  <si>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</si>
  <si>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7/PA</t>
  </si>
  <si>
    <t>ROCCHI COPERTURE SRL</t>
  </si>
  <si>
    <t>PA002</t>
  </si>
  <si>
    <t>PA001</t>
  </si>
  <si>
    <t>34/E</t>
  </si>
  <si>
    <t>30/E</t>
  </si>
  <si>
    <t>757-2020-00</t>
  </si>
  <si>
    <t>ENERGIE SOCIALI COOPERATIVA SOCIALE ONLUS</t>
  </si>
  <si>
    <t>AGRIVERDE</t>
  </si>
  <si>
    <t>2/PA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</si>
  <si>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</si>
  <si>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STUDIO GIALLO SRL</t>
  </si>
  <si>
    <t>80/10</t>
  </si>
  <si>
    <t>KYOCERA DOCUMENT SOLUTIONS ITALIA S.P.A.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</si>
  <si>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</si>
  <si>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47/E</t>
  </si>
  <si>
    <t>SANITARIA SERVIZI AMBIENTALI SRL</t>
  </si>
  <si>
    <t>000211/PA</t>
  </si>
  <si>
    <t>2020-V5-77</t>
  </si>
  <si>
    <t>BORIN s.r.l.</t>
  </si>
  <si>
    <t>964/00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</si>
  <si>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</si>
  <si>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VIVAI PIANTE MICHELE MONTAGNANA DI VACCARI MONICA</t>
  </si>
  <si>
    <t>PC2000002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</si>
  <si>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</si>
  <si>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PA2000005</t>
  </si>
  <si>
    <t>SIM S.N.C. DI SIMIONATI MARCO E ELENA</t>
  </si>
  <si>
    <t>FONDAZIONE MADONNA DI LOURDES ONLUS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</si>
  <si>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</si>
  <si>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162/11</t>
  </si>
  <si>
    <t>ARUBA PEC SPA</t>
  </si>
  <si>
    <t>A20PAMS0000428</t>
  </si>
  <si>
    <t>FIORERIA LA MIMOSA DI RAVAGNANI CRISTINA</t>
  </si>
  <si>
    <t>FATTPA 5_20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</si>
  <si>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</si>
  <si>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ACCATRE S.R.L.</t>
  </si>
  <si>
    <t>200368/1</t>
  </si>
  <si>
    <t>LADE s.r.l.</t>
  </si>
  <si>
    <t>0000021/PA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</si>
  <si>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</si>
  <si>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497-2020-01</t>
  </si>
  <si>
    <t>647-2020-01</t>
  </si>
  <si>
    <t>0000022/PA</t>
  </si>
  <si>
    <t>ECOTRAFFIC S.R.L.</t>
  </si>
  <si>
    <t>VEN/744</t>
  </si>
  <si>
    <t>VERDEARANCIO SOCIETA'COOPERATIVA SOCIALE -ONLUS</t>
  </si>
  <si>
    <t>22/2020/PA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</si>
  <si>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</si>
  <si>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IL PONTE SOCIETA' COOPERATIVA SOCIALE O.N.L.U.S.</t>
  </si>
  <si>
    <t>2020    51/E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</si>
  <si>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</si>
  <si>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0000014/PA</t>
  </si>
  <si>
    <t>1/PA</t>
  </si>
  <si>
    <t>BOXXAPPS SRL</t>
  </si>
  <si>
    <t>200448/1</t>
  </si>
  <si>
    <t>18/2020/PA</t>
  </si>
  <si>
    <t>LIVE SRL</t>
  </si>
  <si>
    <t>186/2020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</si>
  <si>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</si>
  <si>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102/2020</t>
  </si>
  <si>
    <t>2020    63/E</t>
  </si>
  <si>
    <t>Sodexo Italia S.p.A.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</si>
  <si>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</si>
  <si>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ADDICALCO LOGISTICA SRL</t>
  </si>
  <si>
    <t>187/00002</t>
  </si>
  <si>
    <t>HALLEY VENETO S.R.L.</t>
  </si>
  <si>
    <t>1/200564</t>
  </si>
  <si>
    <t>CONSORZIO EUROBUS VERONA SOC. COOP.</t>
  </si>
  <si>
    <t>201/FE</t>
  </si>
  <si>
    <t>* RISULTATO 2o TRIMESTRE 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</si>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</sst>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14" fontId="18" fillId="0" borderId="10" xfId="0" applyNumberFormat="1" applyFont="1" applyBorder="1" applyAlignment="1">
      <alignment vertical="center" wrapText="1"/>
    </xf>
    <xf numFmtId="4" fontId="18" fillId="0" borderId="15" xfId="0" applyNumberFormat="1" applyFont="1" applyBorder="1" applyAlignment="1">
      <alignment vertical="center" wrapText="1"/>
    </xf>
    <xf numFmtId="4" fontId="18" fillId="0" borderId="10" xfId="0" applyNumberFormat="1" applyFont="1" applyBorder="1" applyAlignment="1">
      <alignment vertical="center" wrapText="1"/>
    </xf>
    <xf numFmtId="17" fontId="18" fillId="0" borderId="10" xfId="0" applyNumberFormat="1" applyFont="1" applyBorder="1" applyAlignment="1">
      <alignment vertical="center" wrapText="1"/>
    </xf>
    <xf numFmtId="16" fontId="18" fillId="0" borderId="10" xfId="0" applyNumberFormat="1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4" fontId="18" fillId="0" borderId="17" xfId="0" applyNumberFormat="1" applyFont="1" applyBorder="1" applyAlignment="1">
      <alignment vertical="center" wrapText="1"/>
    </xf>
    <xf numFmtId="2" fontId="20" fillId="0" borderId="17" xfId="0" applyNumberFormat="1" applyFont="1" applyBorder="1" applyAlignment="1">
      <alignment vertical="center" wrapText="1"/>
    </xf>
    <xf numFmtId="4" fontId="18" fillId="0" borderId="18" xfId="0" applyNumberFormat="1" applyFont="1" applyBorder="1" applyAlignment="1">
      <alignment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5"/>
  <sheetViews>
    <sheetView tabSelected="1" workbookViewId="0">
      <pane ySplit="1" topLeftCell="A212" activePane="bottomLeft" state="frozen"/>
      <selection pane="bottomLeft" activeCell="D19" sqref="D19"/>
    </sheetView>
  </sheetViews>
  <sheetFormatPr defaultRowHeight="12" x14ac:dyDescent="0.25"/>
  <cols>
    <col min="1" max="1" width="30.85546875" style="1" customWidth="1"/>
    <col min="2" max="2" width="8.5703125" style="1" customWidth="1"/>
    <col min="3" max="3" width="10.140625" style="1" customWidth="1"/>
    <col min="4" max="4" width="18.140625" style="1" customWidth="1"/>
    <col min="5" max="5" width="10.140625" style="1" customWidth="1"/>
    <col min="6" max="6" width="9.28515625" style="1" hidden="1" customWidth="1"/>
    <col min="7" max="7" width="0.140625" style="1" hidden="1" customWidth="1"/>
    <col min="8" max="8" width="10.140625" style="1" customWidth="1"/>
    <col min="9" max="9" width="9.85546875" style="1" customWidth="1"/>
    <col min="10" max="10" width="0" style="1" hidden="1" customWidth="1"/>
    <col min="11" max="12" width="9.28515625" style="1" hidden="1" customWidth="1"/>
    <col min="13" max="13" width="8.7109375" style="1" bestFit="1" customWidth="1"/>
    <col min="14" max="14" width="6.85546875" style="1" bestFit="1" customWidth="1"/>
    <col min="15" max="15" width="10.5703125" style="1" bestFit="1" customWidth="1"/>
    <col min="16" max="17" width="0" style="1" hidden="1" customWidth="1"/>
    <col min="18" max="16384" width="9.140625" style="1"/>
  </cols>
  <sheetData>
    <row r="1" spans="1:18" ht="34.5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s="6" t="s">
        <v>18</v>
      </c>
      <c r="B2" s="2">
        <v>871</v>
      </c>
      <c r="C2" s="7">
        <v>43972</v>
      </c>
      <c r="D2" s="2" t="str">
        <f>"31261"</f>
        <v>31261</v>
      </c>
      <c r="E2" s="7">
        <v>42671</v>
      </c>
      <c r="F2" s="2">
        <v>0</v>
      </c>
      <c r="G2" s="2">
        <v>0</v>
      </c>
      <c r="H2" s="7">
        <v>43972</v>
      </c>
      <c r="I2" s="7">
        <v>43100</v>
      </c>
      <c r="J2" s="2" t="s">
        <v>19</v>
      </c>
      <c r="K2" s="2">
        <v>41.72</v>
      </c>
      <c r="L2" s="2">
        <v>7.52</v>
      </c>
      <c r="M2" s="2">
        <v>34.200000000000003</v>
      </c>
      <c r="N2" s="2">
        <v>872</v>
      </c>
      <c r="O2" s="8">
        <f>+M2*N2</f>
        <v>29822.400000000001</v>
      </c>
      <c r="P2" s="1" t="s">
        <v>20</v>
      </c>
      <c r="R2" s="1" t="s">
        <v>21</v>
      </c>
    </row>
    <row r="3" spans="1:18" x14ac:dyDescent="0.25">
      <c r="A3" s="6" t="s">
        <v>18</v>
      </c>
      <c r="B3" s="2">
        <v>902</v>
      </c>
      <c r="C3" s="7">
        <v>43976</v>
      </c>
      <c r="D3" s="2" t="str">
        <f>"19168"</f>
        <v>19168</v>
      </c>
      <c r="E3" s="7">
        <v>43251</v>
      </c>
      <c r="F3" s="2">
        <v>0</v>
      </c>
      <c r="G3" s="2">
        <v>0</v>
      </c>
      <c r="H3" s="7">
        <v>43977</v>
      </c>
      <c r="I3" s="7">
        <v>43283</v>
      </c>
      <c r="J3" s="2" t="s">
        <v>19</v>
      </c>
      <c r="K3" s="2">
        <v>40.549999999999997</v>
      </c>
      <c r="L3" s="2">
        <v>7.31</v>
      </c>
      <c r="M3" s="2">
        <v>33.24</v>
      </c>
      <c r="N3" s="2">
        <v>694</v>
      </c>
      <c r="O3" s="8">
        <f t="shared" ref="O3:O66" si="0">+M3*N3</f>
        <v>23068.560000000001</v>
      </c>
      <c r="P3" s="1" t="s">
        <v>20</v>
      </c>
      <c r="R3" s="1" t="s">
        <v>21</v>
      </c>
    </row>
    <row r="4" spans="1:18" x14ac:dyDescent="0.25">
      <c r="A4" s="6" t="s">
        <v>18</v>
      </c>
      <c r="B4" s="2">
        <v>902</v>
      </c>
      <c r="C4" s="7">
        <v>43976</v>
      </c>
      <c r="D4" s="2" t="str">
        <f>"21506"</f>
        <v>21506</v>
      </c>
      <c r="E4" s="7">
        <v>43252</v>
      </c>
      <c r="F4" s="2">
        <v>0</v>
      </c>
      <c r="G4" s="2">
        <v>0</v>
      </c>
      <c r="H4" s="7">
        <v>43977</v>
      </c>
      <c r="I4" s="7">
        <v>43283</v>
      </c>
      <c r="J4" s="2" t="s">
        <v>19</v>
      </c>
      <c r="K4" s="2">
        <v>40.549999999999997</v>
      </c>
      <c r="L4" s="2">
        <v>7.31</v>
      </c>
      <c r="M4" s="2">
        <v>33.24</v>
      </c>
      <c r="N4" s="2">
        <v>694</v>
      </c>
      <c r="O4" s="8">
        <f t="shared" si="0"/>
        <v>23068.560000000001</v>
      </c>
      <c r="P4" s="1" t="s">
        <v>20</v>
      </c>
      <c r="R4" s="1" t="s">
        <v>21</v>
      </c>
    </row>
    <row r="5" spans="1:18" x14ac:dyDescent="0.25">
      <c r="A5" s="6" t="s">
        <v>18</v>
      </c>
      <c r="B5" s="2">
        <v>902</v>
      </c>
      <c r="C5" s="7">
        <v>43976</v>
      </c>
      <c r="D5" s="2" t="str">
        <f>"23257"</f>
        <v>23257</v>
      </c>
      <c r="E5" s="7">
        <v>43252</v>
      </c>
      <c r="F5" s="2">
        <v>0</v>
      </c>
      <c r="G5" s="2">
        <v>0</v>
      </c>
      <c r="H5" s="7">
        <v>43977</v>
      </c>
      <c r="I5" s="7">
        <v>43283</v>
      </c>
      <c r="J5" s="2" t="s">
        <v>19</v>
      </c>
      <c r="K5" s="2">
        <v>40.549999999999997</v>
      </c>
      <c r="L5" s="2">
        <v>7.31</v>
      </c>
      <c r="M5" s="2">
        <v>33.24</v>
      </c>
      <c r="N5" s="2">
        <v>694</v>
      </c>
      <c r="O5" s="8">
        <f t="shared" si="0"/>
        <v>23068.560000000001</v>
      </c>
      <c r="P5" s="1" t="s">
        <v>20</v>
      </c>
      <c r="R5" s="1" t="s">
        <v>21</v>
      </c>
    </row>
    <row r="6" spans="1:18" x14ac:dyDescent="0.25">
      <c r="A6" s="6" t="s">
        <v>18</v>
      </c>
      <c r="B6" s="2">
        <v>762</v>
      </c>
      <c r="C6" s="7">
        <v>43971</v>
      </c>
      <c r="D6" s="2" t="str">
        <f>"19167"</f>
        <v>19167</v>
      </c>
      <c r="E6" s="7">
        <v>43251</v>
      </c>
      <c r="F6" s="2">
        <v>0</v>
      </c>
      <c r="G6" s="2">
        <v>0</v>
      </c>
      <c r="H6" s="7">
        <v>43972</v>
      </c>
      <c r="I6" s="7">
        <v>43287</v>
      </c>
      <c r="J6" s="2" t="s">
        <v>19</v>
      </c>
      <c r="K6" s="2">
        <v>7.26</v>
      </c>
      <c r="L6" s="2">
        <v>7.26</v>
      </c>
      <c r="M6" s="2">
        <v>0</v>
      </c>
      <c r="N6" s="2">
        <v>685</v>
      </c>
      <c r="O6" s="8">
        <f t="shared" si="0"/>
        <v>0</v>
      </c>
      <c r="P6" s="1" t="s">
        <v>20</v>
      </c>
      <c r="R6" s="1" t="s">
        <v>21</v>
      </c>
    </row>
    <row r="7" spans="1:18" x14ac:dyDescent="0.25">
      <c r="A7" s="6" t="s">
        <v>18</v>
      </c>
      <c r="B7" s="2">
        <v>567</v>
      </c>
      <c r="C7" s="7">
        <v>43938</v>
      </c>
      <c r="D7" s="2" t="str">
        <f>"12441"</f>
        <v>12441</v>
      </c>
      <c r="E7" s="7">
        <v>43234</v>
      </c>
      <c r="F7" s="2">
        <v>0</v>
      </c>
      <c r="G7" s="2">
        <v>0</v>
      </c>
      <c r="H7" s="7">
        <v>43943</v>
      </c>
      <c r="I7" s="7">
        <v>43272</v>
      </c>
      <c r="J7" s="2" t="s">
        <v>19</v>
      </c>
      <c r="K7" s="2">
        <v>36.6</v>
      </c>
      <c r="L7" s="2">
        <v>6.6</v>
      </c>
      <c r="M7" s="2">
        <v>30</v>
      </c>
      <c r="N7" s="2">
        <v>671</v>
      </c>
      <c r="O7" s="8">
        <f t="shared" si="0"/>
        <v>20130</v>
      </c>
      <c r="P7" s="1" t="s">
        <v>20</v>
      </c>
      <c r="R7" s="1" t="s">
        <v>21</v>
      </c>
    </row>
    <row r="8" spans="1:18" x14ac:dyDescent="0.25">
      <c r="A8" s="6" t="s">
        <v>18</v>
      </c>
      <c r="B8" s="2">
        <v>567</v>
      </c>
      <c r="C8" s="7">
        <v>43938</v>
      </c>
      <c r="D8" s="2" t="str">
        <f>"12442"</f>
        <v>12442</v>
      </c>
      <c r="E8" s="7">
        <v>43234</v>
      </c>
      <c r="F8" s="2">
        <v>0</v>
      </c>
      <c r="G8" s="2">
        <v>0</v>
      </c>
      <c r="H8" s="7">
        <v>43943</v>
      </c>
      <c r="I8" s="7">
        <v>43272</v>
      </c>
      <c r="J8" s="2" t="s">
        <v>19</v>
      </c>
      <c r="K8" s="2">
        <v>36.6</v>
      </c>
      <c r="L8" s="2">
        <v>6.6</v>
      </c>
      <c r="M8" s="2">
        <v>30</v>
      </c>
      <c r="N8" s="2">
        <v>671</v>
      </c>
      <c r="O8" s="8">
        <f t="shared" si="0"/>
        <v>20130</v>
      </c>
      <c r="P8" s="1" t="s">
        <v>20</v>
      </c>
      <c r="R8" s="1" t="s">
        <v>21</v>
      </c>
    </row>
    <row r="9" spans="1:18" x14ac:dyDescent="0.25">
      <c r="A9" s="6" t="s">
        <v>18</v>
      </c>
      <c r="B9" s="2">
        <v>900</v>
      </c>
      <c r="C9" s="7">
        <v>43976</v>
      </c>
      <c r="D9" s="2" t="str">
        <f>"22727"</f>
        <v>22727</v>
      </c>
      <c r="E9" s="7">
        <v>43252</v>
      </c>
      <c r="F9" s="2">
        <v>0</v>
      </c>
      <c r="G9" s="2">
        <v>0</v>
      </c>
      <c r="H9" s="7">
        <v>43977</v>
      </c>
      <c r="I9" s="7">
        <v>43465</v>
      </c>
      <c r="J9" s="2" t="s">
        <v>19</v>
      </c>
      <c r="K9" s="2">
        <v>41.72</v>
      </c>
      <c r="L9" s="2">
        <v>7.52</v>
      </c>
      <c r="M9" s="2">
        <v>34.200000000000003</v>
      </c>
      <c r="N9" s="2">
        <v>512</v>
      </c>
      <c r="O9" s="8">
        <f t="shared" si="0"/>
        <v>17510.400000000001</v>
      </c>
      <c r="P9" s="1" t="s">
        <v>20</v>
      </c>
      <c r="R9" s="1" t="s">
        <v>21</v>
      </c>
    </row>
    <row r="10" spans="1:18" x14ac:dyDescent="0.25">
      <c r="A10" s="6" t="s">
        <v>18</v>
      </c>
      <c r="B10" s="2">
        <v>566</v>
      </c>
      <c r="C10" s="7">
        <v>43938</v>
      </c>
      <c r="D10" s="2" t="str">
        <f>"12443"</f>
        <v>12443</v>
      </c>
      <c r="E10" s="7">
        <v>43234</v>
      </c>
      <c r="F10" s="2">
        <v>0</v>
      </c>
      <c r="G10" s="2">
        <v>0</v>
      </c>
      <c r="H10" s="7">
        <v>43943</v>
      </c>
      <c r="I10" s="7">
        <v>43465</v>
      </c>
      <c r="J10" s="2" t="s">
        <v>19</v>
      </c>
      <c r="K10" s="2">
        <v>36.6</v>
      </c>
      <c r="L10" s="2">
        <v>6.6</v>
      </c>
      <c r="M10" s="2">
        <v>30</v>
      </c>
      <c r="N10" s="2">
        <v>478</v>
      </c>
      <c r="O10" s="8">
        <f t="shared" si="0"/>
        <v>14340</v>
      </c>
      <c r="P10" s="1" t="s">
        <v>20</v>
      </c>
      <c r="R10" s="1" t="s">
        <v>21</v>
      </c>
    </row>
    <row r="11" spans="1:18" x14ac:dyDescent="0.25">
      <c r="A11" s="6" t="s">
        <v>18</v>
      </c>
      <c r="B11" s="2">
        <v>870</v>
      </c>
      <c r="C11" s="7">
        <v>43972</v>
      </c>
      <c r="D11" s="2" t="str">
        <f>"2019023860"</f>
        <v>2019023860</v>
      </c>
      <c r="E11" s="7">
        <v>43621</v>
      </c>
      <c r="F11" s="2">
        <v>0</v>
      </c>
      <c r="G11" s="2">
        <v>0</v>
      </c>
      <c r="H11" s="7">
        <v>43972</v>
      </c>
      <c r="I11" s="7">
        <v>43647</v>
      </c>
      <c r="J11" s="2" t="s">
        <v>19</v>
      </c>
      <c r="K11" s="2">
        <v>41.72</v>
      </c>
      <c r="L11" s="2">
        <v>7.52</v>
      </c>
      <c r="M11" s="2">
        <v>34.200000000000003</v>
      </c>
      <c r="N11" s="2">
        <v>325</v>
      </c>
      <c r="O11" s="8">
        <f t="shared" si="0"/>
        <v>11115.000000000002</v>
      </c>
      <c r="P11" s="1" t="s">
        <v>20</v>
      </c>
      <c r="R11" s="1" t="s">
        <v>22</v>
      </c>
    </row>
    <row r="12" spans="1:18" x14ac:dyDescent="0.25">
      <c r="A12" s="6" t="s">
        <v>23</v>
      </c>
      <c r="B12" s="2">
        <v>1088</v>
      </c>
      <c r="C12" s="7">
        <v>44009</v>
      </c>
      <c r="D12" s="2" t="str">
        <f>"41905089148"</f>
        <v>41905089148</v>
      </c>
      <c r="E12" s="7">
        <v>43819</v>
      </c>
      <c r="F12" s="2">
        <v>0</v>
      </c>
      <c r="G12" s="2">
        <v>0</v>
      </c>
      <c r="H12" s="7">
        <v>44009</v>
      </c>
      <c r="I12" s="7">
        <v>43850</v>
      </c>
      <c r="J12" s="2" t="s">
        <v>19</v>
      </c>
      <c r="K12" s="2">
        <v>229.58</v>
      </c>
      <c r="L12" s="2">
        <v>41.4</v>
      </c>
      <c r="M12" s="2">
        <v>188.18</v>
      </c>
      <c r="N12" s="2">
        <v>159</v>
      </c>
      <c r="O12" s="8">
        <f t="shared" si="0"/>
        <v>29920.620000000003</v>
      </c>
      <c r="P12" s="1" t="s">
        <v>20</v>
      </c>
      <c r="R12" s="1" t="s">
        <v>24</v>
      </c>
    </row>
    <row r="13" spans="1:18" x14ac:dyDescent="0.25">
      <c r="A13" s="6" t="s">
        <v>25</v>
      </c>
      <c r="B13" s="2">
        <v>874</v>
      </c>
      <c r="C13" s="7">
        <v>43973</v>
      </c>
      <c r="D13" s="2" t="str">
        <f>"62"</f>
        <v>62</v>
      </c>
      <c r="E13" s="7">
        <v>43769</v>
      </c>
      <c r="F13" s="2">
        <v>0</v>
      </c>
      <c r="G13" s="2">
        <v>0</v>
      </c>
      <c r="H13" s="7">
        <v>43973</v>
      </c>
      <c r="I13" s="7">
        <v>43830</v>
      </c>
      <c r="J13" s="2" t="s">
        <v>19</v>
      </c>
      <c r="K13" s="2">
        <v>122</v>
      </c>
      <c r="L13" s="2">
        <v>22</v>
      </c>
      <c r="M13" s="2">
        <v>100</v>
      </c>
      <c r="N13" s="2">
        <v>143</v>
      </c>
      <c r="O13" s="8">
        <f t="shared" si="0"/>
        <v>14300</v>
      </c>
      <c r="P13" s="1" t="s">
        <v>20</v>
      </c>
      <c r="R13" s="1" t="s">
        <v>26</v>
      </c>
    </row>
    <row r="14" spans="1:18" x14ac:dyDescent="0.25">
      <c r="A14" s="6" t="s">
        <v>23</v>
      </c>
      <c r="B14" s="2">
        <v>1087</v>
      </c>
      <c r="C14" s="7">
        <v>44009</v>
      </c>
      <c r="D14" s="2" t="str">
        <f>"42000297814"</f>
        <v>42000297814</v>
      </c>
      <c r="E14" s="7">
        <v>43854</v>
      </c>
      <c r="F14" s="2">
        <v>0</v>
      </c>
      <c r="G14" s="2">
        <v>0</v>
      </c>
      <c r="H14" s="7">
        <v>44009</v>
      </c>
      <c r="I14" s="7">
        <v>43884</v>
      </c>
      <c r="J14" s="2" t="s">
        <v>19</v>
      </c>
      <c r="K14" s="2">
        <v>176.73</v>
      </c>
      <c r="L14" s="2">
        <v>31.87</v>
      </c>
      <c r="M14" s="2">
        <v>144.86000000000001</v>
      </c>
      <c r="N14" s="2">
        <v>125</v>
      </c>
      <c r="O14" s="8">
        <f t="shared" si="0"/>
        <v>18107.5</v>
      </c>
      <c r="P14" s="1" t="s">
        <v>20</v>
      </c>
      <c r="R14" s="1" t="s">
        <v>24</v>
      </c>
    </row>
    <row r="15" spans="1:18" x14ac:dyDescent="0.25">
      <c r="A15" s="6" t="s">
        <v>23</v>
      </c>
      <c r="B15" s="2">
        <v>1070</v>
      </c>
      <c r="C15" s="7">
        <v>44002</v>
      </c>
      <c r="D15" s="2" t="str">
        <f>"42000891156"</f>
        <v>42000891156</v>
      </c>
      <c r="E15" s="7">
        <v>43886</v>
      </c>
      <c r="F15" s="2">
        <v>0</v>
      </c>
      <c r="G15" s="2">
        <v>0</v>
      </c>
      <c r="H15" s="7">
        <v>44009</v>
      </c>
      <c r="I15" s="7">
        <v>43921</v>
      </c>
      <c r="J15" s="2" t="s">
        <v>19</v>
      </c>
      <c r="K15" s="2">
        <v>170.58</v>
      </c>
      <c r="L15" s="2">
        <v>19.78</v>
      </c>
      <c r="M15" s="2">
        <v>150.80000000000001</v>
      </c>
      <c r="N15" s="2">
        <v>88</v>
      </c>
      <c r="O15" s="8">
        <f t="shared" si="0"/>
        <v>13270.400000000001</v>
      </c>
      <c r="P15" s="1" t="s">
        <v>20</v>
      </c>
      <c r="R15" s="1" t="s">
        <v>24</v>
      </c>
    </row>
    <row r="16" spans="1:18" ht="36" x14ac:dyDescent="0.25">
      <c r="A16" s="6" t="s">
        <v>27</v>
      </c>
      <c r="B16" s="2">
        <v>575</v>
      </c>
      <c r="C16" s="7">
        <v>43939</v>
      </c>
      <c r="D16" s="2" t="str">
        <f>"3020073803"</f>
        <v>3020073803</v>
      </c>
      <c r="E16" s="7">
        <v>43861</v>
      </c>
      <c r="F16" s="2">
        <v>0</v>
      </c>
      <c r="G16" s="2">
        <v>0</v>
      </c>
      <c r="H16" s="7">
        <v>43939</v>
      </c>
      <c r="I16" s="7">
        <v>43891</v>
      </c>
      <c r="J16" s="2" t="s">
        <v>19</v>
      </c>
      <c r="K16" s="2">
        <v>2.27</v>
      </c>
      <c r="L16" s="2">
        <v>2.27</v>
      </c>
      <c r="M16" s="2">
        <v>0</v>
      </c>
      <c r="N16" s="2">
        <v>48</v>
      </c>
      <c r="O16" s="8">
        <f t="shared" si="0"/>
        <v>0</v>
      </c>
      <c r="P16" s="1" t="s">
        <v>20</v>
      </c>
      <c r="R16" s="1" t="s">
        <v>28</v>
      </c>
    </row>
    <row r="17" spans="1:18" x14ac:dyDescent="0.25">
      <c r="A17" s="6" t="s">
        <v>29</v>
      </c>
      <c r="B17" s="2">
        <v>707</v>
      </c>
      <c r="C17" s="7">
        <v>43953</v>
      </c>
      <c r="D17" s="2" t="s">
        <v>30</v>
      </c>
      <c r="E17" s="7">
        <v>43892</v>
      </c>
      <c r="F17" s="2">
        <v>0</v>
      </c>
      <c r="G17" s="2">
        <v>0</v>
      </c>
      <c r="H17" s="7">
        <v>43953</v>
      </c>
      <c r="I17" s="7">
        <v>43923</v>
      </c>
      <c r="J17" s="2" t="s">
        <v>19</v>
      </c>
      <c r="K17" s="2">
        <v>359.9</v>
      </c>
      <c r="L17" s="2">
        <v>64.900000000000006</v>
      </c>
      <c r="M17" s="2">
        <v>295</v>
      </c>
      <c r="N17" s="2">
        <v>30</v>
      </c>
      <c r="O17" s="8">
        <f t="shared" si="0"/>
        <v>8850</v>
      </c>
      <c r="P17" s="1" t="s">
        <v>20</v>
      </c>
      <c r="R17" s="1" t="s">
        <v>31</v>
      </c>
    </row>
    <row r="18" spans="1:18" x14ac:dyDescent="0.25">
      <c r="A18" s="6" t="s">
        <v>29</v>
      </c>
      <c r="B18" s="2">
        <v>711</v>
      </c>
      <c r="C18" s="7">
        <v>43953</v>
      </c>
      <c r="D18" s="2" t="s">
        <v>32</v>
      </c>
      <c r="E18" s="7">
        <v>43892</v>
      </c>
      <c r="F18" s="2">
        <v>0</v>
      </c>
      <c r="G18" s="2">
        <v>0</v>
      </c>
      <c r="H18" s="7">
        <v>43953</v>
      </c>
      <c r="I18" s="7">
        <v>43923</v>
      </c>
      <c r="J18" s="2" t="s">
        <v>19</v>
      </c>
      <c r="K18" s="2">
        <v>293.06</v>
      </c>
      <c r="L18" s="2">
        <v>52.85</v>
      </c>
      <c r="M18" s="2">
        <v>240.21</v>
      </c>
      <c r="N18" s="2">
        <v>30</v>
      </c>
      <c r="O18" s="8">
        <f t="shared" si="0"/>
        <v>7206.3</v>
      </c>
      <c r="P18" s="1" t="s">
        <v>20</v>
      </c>
      <c r="R18" s="1" t="s">
        <v>31</v>
      </c>
    </row>
    <row r="19" spans="1:18" x14ac:dyDescent="0.25">
      <c r="A19" s="6" t="s">
        <v>29</v>
      </c>
      <c r="B19" s="2">
        <v>713</v>
      </c>
      <c r="C19" s="7">
        <v>43953</v>
      </c>
      <c r="D19" s="2" t="s">
        <v>33</v>
      </c>
      <c r="E19" s="7">
        <v>43892</v>
      </c>
      <c r="F19" s="2">
        <v>0</v>
      </c>
      <c r="G19" s="2">
        <v>0</v>
      </c>
      <c r="H19" s="7">
        <v>43953</v>
      </c>
      <c r="I19" s="7">
        <v>43923</v>
      </c>
      <c r="J19" s="2" t="s">
        <v>19</v>
      </c>
      <c r="K19" s="2">
        <v>648.70000000000005</v>
      </c>
      <c r="L19" s="2">
        <v>116.98</v>
      </c>
      <c r="M19" s="2">
        <v>531.72</v>
      </c>
      <c r="N19" s="2">
        <v>30</v>
      </c>
      <c r="O19" s="8">
        <f t="shared" si="0"/>
        <v>15951.6</v>
      </c>
      <c r="P19" s="1" t="s">
        <v>20</v>
      </c>
      <c r="R19" s="1" t="s">
        <v>31</v>
      </c>
    </row>
    <row r="20" spans="1:18" x14ac:dyDescent="0.25">
      <c r="A20" s="6" t="s">
        <v>29</v>
      </c>
      <c r="B20" s="2">
        <v>708</v>
      </c>
      <c r="C20" s="7">
        <v>43953</v>
      </c>
      <c r="D20" s="2" t="s">
        <v>34</v>
      </c>
      <c r="E20" s="7">
        <v>43892</v>
      </c>
      <c r="F20" s="2">
        <v>0</v>
      </c>
      <c r="G20" s="2">
        <v>0</v>
      </c>
      <c r="H20" s="7">
        <v>43953</v>
      </c>
      <c r="I20" s="7">
        <v>43923</v>
      </c>
      <c r="J20" s="2" t="s">
        <v>19</v>
      </c>
      <c r="K20" s="2">
        <v>814.53</v>
      </c>
      <c r="L20" s="2">
        <v>146.88</v>
      </c>
      <c r="M20" s="2">
        <v>667.65</v>
      </c>
      <c r="N20" s="2">
        <v>30</v>
      </c>
      <c r="O20" s="8">
        <f t="shared" si="0"/>
        <v>20029.5</v>
      </c>
      <c r="P20" s="1" t="s">
        <v>20</v>
      </c>
      <c r="R20" s="1" t="s">
        <v>31</v>
      </c>
    </row>
    <row r="21" spans="1:18" x14ac:dyDescent="0.25">
      <c r="A21" s="6" t="s">
        <v>29</v>
      </c>
      <c r="B21" s="2">
        <v>706</v>
      </c>
      <c r="C21" s="7">
        <v>43953</v>
      </c>
      <c r="D21" s="2" t="s">
        <v>35</v>
      </c>
      <c r="E21" s="7">
        <v>43892</v>
      </c>
      <c r="F21" s="2">
        <v>0</v>
      </c>
      <c r="G21" s="2">
        <v>0</v>
      </c>
      <c r="H21" s="7">
        <v>43953</v>
      </c>
      <c r="I21" s="7">
        <v>43923</v>
      </c>
      <c r="J21" s="2" t="s">
        <v>19</v>
      </c>
      <c r="K21" s="2">
        <v>339.18</v>
      </c>
      <c r="L21" s="2">
        <v>61.16</v>
      </c>
      <c r="M21" s="2">
        <v>278.02</v>
      </c>
      <c r="N21" s="2">
        <v>30</v>
      </c>
      <c r="O21" s="8">
        <f t="shared" si="0"/>
        <v>8340.5999999999985</v>
      </c>
      <c r="P21" s="1" t="s">
        <v>20</v>
      </c>
      <c r="R21" s="1" t="s">
        <v>31</v>
      </c>
    </row>
    <row r="22" spans="1:18" x14ac:dyDescent="0.25">
      <c r="A22" s="6" t="s">
        <v>29</v>
      </c>
      <c r="B22" s="2">
        <v>705</v>
      </c>
      <c r="C22" s="7">
        <v>43953</v>
      </c>
      <c r="D22" s="2" t="s">
        <v>36</v>
      </c>
      <c r="E22" s="7">
        <v>43892</v>
      </c>
      <c r="F22" s="2">
        <v>0</v>
      </c>
      <c r="G22" s="2">
        <v>0</v>
      </c>
      <c r="H22" s="7">
        <v>43953</v>
      </c>
      <c r="I22" s="7">
        <v>43923</v>
      </c>
      <c r="J22" s="2" t="s">
        <v>19</v>
      </c>
      <c r="K22" s="9">
        <v>3005.37</v>
      </c>
      <c r="L22" s="2">
        <v>541.95000000000005</v>
      </c>
      <c r="M22" s="9">
        <v>2463.42</v>
      </c>
      <c r="N22" s="2">
        <v>30</v>
      </c>
      <c r="O22" s="8">
        <f t="shared" si="0"/>
        <v>73902.600000000006</v>
      </c>
      <c r="P22" s="1" t="s">
        <v>20</v>
      </c>
      <c r="R22" s="1" t="s">
        <v>31</v>
      </c>
    </row>
    <row r="23" spans="1:18" x14ac:dyDescent="0.25">
      <c r="A23" s="6" t="s">
        <v>29</v>
      </c>
      <c r="B23" s="2">
        <v>704</v>
      </c>
      <c r="C23" s="7">
        <v>43953</v>
      </c>
      <c r="D23" s="2" t="s">
        <v>37</v>
      </c>
      <c r="E23" s="7">
        <v>43892</v>
      </c>
      <c r="F23" s="2">
        <v>0</v>
      </c>
      <c r="G23" s="2">
        <v>0</v>
      </c>
      <c r="H23" s="7">
        <v>43953</v>
      </c>
      <c r="I23" s="7">
        <v>43923</v>
      </c>
      <c r="J23" s="2" t="s">
        <v>19</v>
      </c>
      <c r="K23" s="2">
        <v>666.61</v>
      </c>
      <c r="L23" s="2">
        <v>120.21</v>
      </c>
      <c r="M23" s="2">
        <v>546.4</v>
      </c>
      <c r="N23" s="2">
        <v>30</v>
      </c>
      <c r="O23" s="8">
        <f t="shared" si="0"/>
        <v>16392</v>
      </c>
      <c r="P23" s="1" t="s">
        <v>20</v>
      </c>
      <c r="R23" s="1" t="s">
        <v>31</v>
      </c>
    </row>
    <row r="24" spans="1:18" x14ac:dyDescent="0.25">
      <c r="A24" s="6" t="s">
        <v>29</v>
      </c>
      <c r="B24" s="2">
        <v>710</v>
      </c>
      <c r="C24" s="7">
        <v>43953</v>
      </c>
      <c r="D24" s="2" t="s">
        <v>38</v>
      </c>
      <c r="E24" s="7">
        <v>43892</v>
      </c>
      <c r="F24" s="2">
        <v>0</v>
      </c>
      <c r="G24" s="2">
        <v>0</v>
      </c>
      <c r="H24" s="7">
        <v>43953</v>
      </c>
      <c r="I24" s="7">
        <v>43923</v>
      </c>
      <c r="J24" s="2" t="s">
        <v>19</v>
      </c>
      <c r="K24" s="2">
        <v>399.62</v>
      </c>
      <c r="L24" s="2">
        <v>72.06</v>
      </c>
      <c r="M24" s="2">
        <v>327.56</v>
      </c>
      <c r="N24" s="2">
        <v>30</v>
      </c>
      <c r="O24" s="8">
        <f t="shared" si="0"/>
        <v>9826.7999999999993</v>
      </c>
      <c r="P24" s="1" t="s">
        <v>20</v>
      </c>
      <c r="R24" s="1" t="s">
        <v>31</v>
      </c>
    </row>
    <row r="25" spans="1:18" x14ac:dyDescent="0.25">
      <c r="A25" s="6" t="s">
        <v>29</v>
      </c>
      <c r="B25" s="2">
        <v>709</v>
      </c>
      <c r="C25" s="7">
        <v>43953</v>
      </c>
      <c r="D25" s="2" t="s">
        <v>39</v>
      </c>
      <c r="E25" s="7">
        <v>43892</v>
      </c>
      <c r="F25" s="2">
        <v>0</v>
      </c>
      <c r="G25" s="2">
        <v>0</v>
      </c>
      <c r="H25" s="7">
        <v>43953</v>
      </c>
      <c r="I25" s="7">
        <v>43923</v>
      </c>
      <c r="J25" s="2" t="s">
        <v>19</v>
      </c>
      <c r="K25" s="2">
        <v>252.3</v>
      </c>
      <c r="L25" s="2">
        <v>45.5</v>
      </c>
      <c r="M25" s="2">
        <v>206.8</v>
      </c>
      <c r="N25" s="2">
        <v>30</v>
      </c>
      <c r="O25" s="8">
        <f t="shared" si="0"/>
        <v>6204</v>
      </c>
      <c r="P25" s="1" t="s">
        <v>20</v>
      </c>
      <c r="R25" s="1" t="s">
        <v>31</v>
      </c>
    </row>
    <row r="26" spans="1:18" x14ac:dyDescent="0.25">
      <c r="A26" s="6" t="s">
        <v>29</v>
      </c>
      <c r="B26" s="2">
        <v>712</v>
      </c>
      <c r="C26" s="7">
        <v>43953</v>
      </c>
      <c r="D26" s="2" t="s">
        <v>40</v>
      </c>
      <c r="E26" s="7">
        <v>43892</v>
      </c>
      <c r="F26" s="2">
        <v>0</v>
      </c>
      <c r="G26" s="2">
        <v>0</v>
      </c>
      <c r="H26" s="7">
        <v>43953</v>
      </c>
      <c r="I26" s="7">
        <v>43923</v>
      </c>
      <c r="J26" s="2" t="s">
        <v>19</v>
      </c>
      <c r="K26" s="2">
        <v>307.32</v>
      </c>
      <c r="L26" s="2">
        <v>55.42</v>
      </c>
      <c r="M26" s="2">
        <v>251.9</v>
      </c>
      <c r="N26" s="2">
        <v>30</v>
      </c>
      <c r="O26" s="8">
        <f t="shared" si="0"/>
        <v>7557</v>
      </c>
      <c r="P26" s="1" t="s">
        <v>20</v>
      </c>
      <c r="R26" s="1" t="s">
        <v>31</v>
      </c>
    </row>
    <row r="27" spans="1:18" x14ac:dyDescent="0.25">
      <c r="A27" s="6" t="s">
        <v>29</v>
      </c>
      <c r="B27" s="2">
        <v>714</v>
      </c>
      <c r="C27" s="7">
        <v>43953</v>
      </c>
      <c r="D27" s="2" t="s">
        <v>41</v>
      </c>
      <c r="E27" s="7">
        <v>43892</v>
      </c>
      <c r="F27" s="2">
        <v>0</v>
      </c>
      <c r="G27" s="2">
        <v>0</v>
      </c>
      <c r="H27" s="7">
        <v>43953</v>
      </c>
      <c r="I27" s="7">
        <v>43923</v>
      </c>
      <c r="J27" s="2" t="s">
        <v>19</v>
      </c>
      <c r="K27" s="2">
        <v>658.46</v>
      </c>
      <c r="L27" s="2">
        <v>118.74</v>
      </c>
      <c r="M27" s="2">
        <v>539.72</v>
      </c>
      <c r="N27" s="2">
        <v>30</v>
      </c>
      <c r="O27" s="8">
        <f t="shared" si="0"/>
        <v>16191.6</v>
      </c>
      <c r="P27" s="1" t="s">
        <v>20</v>
      </c>
      <c r="R27" s="1" t="s">
        <v>31</v>
      </c>
    </row>
    <row r="28" spans="1:18" x14ac:dyDescent="0.25">
      <c r="A28" s="6" t="s">
        <v>18</v>
      </c>
      <c r="B28" s="2">
        <v>906</v>
      </c>
      <c r="C28" s="7">
        <v>43978</v>
      </c>
      <c r="D28" s="2" t="str">
        <f>"2020012850"</f>
        <v>2020012850</v>
      </c>
      <c r="E28" s="7">
        <v>43914</v>
      </c>
      <c r="F28" s="2">
        <v>0</v>
      </c>
      <c r="G28" s="2">
        <v>0</v>
      </c>
      <c r="H28" s="7">
        <v>43979</v>
      </c>
      <c r="I28" s="7">
        <v>43951</v>
      </c>
      <c r="J28" s="2" t="s">
        <v>19</v>
      </c>
      <c r="K28" s="2">
        <v>40.549999999999997</v>
      </c>
      <c r="L28" s="2">
        <v>7.31</v>
      </c>
      <c r="M28" s="2">
        <v>33.24</v>
      </c>
      <c r="N28" s="2">
        <v>28</v>
      </c>
      <c r="O28" s="8">
        <f t="shared" si="0"/>
        <v>930.72</v>
      </c>
      <c r="P28" s="1" t="s">
        <v>20</v>
      </c>
      <c r="R28" s="1" t="s">
        <v>22</v>
      </c>
    </row>
    <row r="29" spans="1:18" x14ac:dyDescent="0.25">
      <c r="A29" s="6" t="s">
        <v>18</v>
      </c>
      <c r="B29" s="2">
        <v>906</v>
      </c>
      <c r="C29" s="7">
        <v>43978</v>
      </c>
      <c r="D29" s="2" t="str">
        <f>"2020012849"</f>
        <v>2020012849</v>
      </c>
      <c r="E29" s="7">
        <v>43914</v>
      </c>
      <c r="F29" s="2">
        <v>0</v>
      </c>
      <c r="G29" s="2">
        <v>0</v>
      </c>
      <c r="H29" s="7">
        <v>43979</v>
      </c>
      <c r="I29" s="7">
        <v>43951</v>
      </c>
      <c r="J29" s="2" t="s">
        <v>19</v>
      </c>
      <c r="K29" s="2">
        <v>40.549999999999997</v>
      </c>
      <c r="L29" s="2">
        <v>7.31</v>
      </c>
      <c r="M29" s="2">
        <v>33.24</v>
      </c>
      <c r="N29" s="2">
        <v>28</v>
      </c>
      <c r="O29" s="8">
        <f t="shared" si="0"/>
        <v>930.72</v>
      </c>
      <c r="P29" s="1" t="s">
        <v>20</v>
      </c>
      <c r="R29" s="1" t="s">
        <v>22</v>
      </c>
    </row>
    <row r="30" spans="1:18" x14ac:dyDescent="0.25">
      <c r="A30" s="6" t="s">
        <v>18</v>
      </c>
      <c r="B30" s="2">
        <v>906</v>
      </c>
      <c r="C30" s="7">
        <v>43978</v>
      </c>
      <c r="D30" s="2" t="str">
        <f>"2020012848"</f>
        <v>2020012848</v>
      </c>
      <c r="E30" s="7">
        <v>43914</v>
      </c>
      <c r="F30" s="2">
        <v>0</v>
      </c>
      <c r="G30" s="2">
        <v>0</v>
      </c>
      <c r="H30" s="7">
        <v>43979</v>
      </c>
      <c r="I30" s="7">
        <v>43951</v>
      </c>
      <c r="J30" s="2" t="s">
        <v>19</v>
      </c>
      <c r="K30" s="2">
        <v>40.549999999999997</v>
      </c>
      <c r="L30" s="2">
        <v>7.31</v>
      </c>
      <c r="M30" s="2">
        <v>33.24</v>
      </c>
      <c r="N30" s="2">
        <v>28</v>
      </c>
      <c r="O30" s="8">
        <f t="shared" si="0"/>
        <v>930.72</v>
      </c>
      <c r="P30" s="1" t="s">
        <v>20</v>
      </c>
      <c r="R30" s="1" t="s">
        <v>22</v>
      </c>
    </row>
    <row r="31" spans="1:18" x14ac:dyDescent="0.25">
      <c r="A31" s="6" t="s">
        <v>42</v>
      </c>
      <c r="B31" s="2">
        <v>957</v>
      </c>
      <c r="C31" s="7">
        <v>43988</v>
      </c>
      <c r="D31" s="2" t="str">
        <f>"0350120200800267400"</f>
        <v>0350120200800267400</v>
      </c>
      <c r="E31" s="7">
        <v>43931</v>
      </c>
      <c r="F31" s="2">
        <v>0</v>
      </c>
      <c r="G31" s="2">
        <v>0</v>
      </c>
      <c r="H31" s="7">
        <v>43988</v>
      </c>
      <c r="I31" s="7">
        <v>43961</v>
      </c>
      <c r="J31" s="2" t="s">
        <v>19</v>
      </c>
      <c r="K31" s="2">
        <v>99.36</v>
      </c>
      <c r="L31" s="2">
        <v>9.0299999999999994</v>
      </c>
      <c r="M31" s="2">
        <v>90.33</v>
      </c>
      <c r="N31" s="2">
        <v>27</v>
      </c>
      <c r="O31" s="8">
        <f t="shared" si="0"/>
        <v>2438.91</v>
      </c>
      <c r="P31" s="1" t="s">
        <v>20</v>
      </c>
      <c r="R31" s="1" t="s">
        <v>43</v>
      </c>
    </row>
    <row r="32" spans="1:18" ht="36" x14ac:dyDescent="0.25">
      <c r="A32" s="6" t="s">
        <v>27</v>
      </c>
      <c r="B32" s="2">
        <v>575</v>
      </c>
      <c r="C32" s="7">
        <v>43939</v>
      </c>
      <c r="D32" s="2" t="str">
        <f>"3020114845"</f>
        <v>3020114845</v>
      </c>
      <c r="E32" s="7">
        <v>43885</v>
      </c>
      <c r="F32" s="2">
        <v>0</v>
      </c>
      <c r="G32" s="2">
        <v>0</v>
      </c>
      <c r="H32" s="7">
        <v>43939</v>
      </c>
      <c r="I32" s="7">
        <v>43915</v>
      </c>
      <c r="J32" s="2" t="s">
        <v>19</v>
      </c>
      <c r="K32" s="2">
        <v>56.9</v>
      </c>
      <c r="L32" s="2">
        <v>56.9</v>
      </c>
      <c r="M32" s="2">
        <v>0</v>
      </c>
      <c r="N32" s="2">
        <v>24</v>
      </c>
      <c r="O32" s="8">
        <f t="shared" si="0"/>
        <v>0</v>
      </c>
      <c r="P32" s="1" t="s">
        <v>20</v>
      </c>
      <c r="R32" s="1" t="s">
        <v>28</v>
      </c>
    </row>
    <row r="33" spans="1:18" x14ac:dyDescent="0.25">
      <c r="A33" s="6" t="s">
        <v>44</v>
      </c>
      <c r="B33" s="2">
        <v>690</v>
      </c>
      <c r="C33" s="7">
        <v>43953</v>
      </c>
      <c r="D33" s="2" t="str">
        <f>"20051"</f>
        <v>20051</v>
      </c>
      <c r="E33" s="7">
        <v>43899</v>
      </c>
      <c r="F33" s="2">
        <v>0</v>
      </c>
      <c r="G33" s="2">
        <v>0</v>
      </c>
      <c r="H33" s="7">
        <v>43953</v>
      </c>
      <c r="I33" s="7">
        <v>43930</v>
      </c>
      <c r="J33" s="2" t="s">
        <v>19</v>
      </c>
      <c r="K33" s="9">
        <v>3344.62</v>
      </c>
      <c r="L33" s="2">
        <v>603.13</v>
      </c>
      <c r="M33" s="9">
        <v>2741.49</v>
      </c>
      <c r="N33" s="2">
        <v>23</v>
      </c>
      <c r="O33" s="8">
        <f t="shared" si="0"/>
        <v>63054.27</v>
      </c>
      <c r="P33" s="1" t="s">
        <v>20</v>
      </c>
      <c r="R33" s="1" t="s">
        <v>45</v>
      </c>
    </row>
    <row r="34" spans="1:18" x14ac:dyDescent="0.25">
      <c r="A34" s="6" t="s">
        <v>44</v>
      </c>
      <c r="B34" s="2">
        <v>692</v>
      </c>
      <c r="C34" s="7">
        <v>43953</v>
      </c>
      <c r="D34" s="2" t="str">
        <f>"20052"</f>
        <v>20052</v>
      </c>
      <c r="E34" s="7">
        <v>43899</v>
      </c>
      <c r="F34" s="2">
        <v>0</v>
      </c>
      <c r="G34" s="2">
        <v>0</v>
      </c>
      <c r="H34" s="7">
        <v>43953</v>
      </c>
      <c r="I34" s="7">
        <v>43930</v>
      </c>
      <c r="J34" s="2" t="s">
        <v>19</v>
      </c>
      <c r="K34" s="9">
        <v>14819.54</v>
      </c>
      <c r="L34" s="9">
        <v>2672.38</v>
      </c>
      <c r="M34" s="9">
        <v>12147.16</v>
      </c>
      <c r="N34" s="2">
        <v>23</v>
      </c>
      <c r="O34" s="8">
        <f t="shared" si="0"/>
        <v>279384.68</v>
      </c>
      <c r="P34" s="1" t="s">
        <v>20</v>
      </c>
      <c r="R34" s="1" t="s">
        <v>45</v>
      </c>
    </row>
    <row r="35" spans="1:18" x14ac:dyDescent="0.25">
      <c r="A35" s="6" t="s">
        <v>18</v>
      </c>
      <c r="B35" s="2">
        <v>869</v>
      </c>
      <c r="C35" s="7">
        <v>43972</v>
      </c>
      <c r="D35" s="2" t="str">
        <f>"2020012847"</f>
        <v>2020012847</v>
      </c>
      <c r="E35" s="7">
        <v>43914</v>
      </c>
      <c r="F35" s="2">
        <v>0</v>
      </c>
      <c r="G35" s="2">
        <v>0</v>
      </c>
      <c r="H35" s="7">
        <v>43972</v>
      </c>
      <c r="I35" s="7">
        <v>43951</v>
      </c>
      <c r="J35" s="2" t="s">
        <v>19</v>
      </c>
      <c r="K35" s="2">
        <v>7.26</v>
      </c>
      <c r="L35" s="2">
        <v>7.26</v>
      </c>
      <c r="M35" s="2">
        <v>0</v>
      </c>
      <c r="N35" s="2">
        <v>21</v>
      </c>
      <c r="O35" s="8">
        <f t="shared" si="0"/>
        <v>0</v>
      </c>
      <c r="P35" s="1" t="s">
        <v>20</v>
      </c>
      <c r="R35" s="1" t="s">
        <v>22</v>
      </c>
    </row>
    <row r="36" spans="1:18" x14ac:dyDescent="0.25">
      <c r="A36" s="6" t="s">
        <v>18</v>
      </c>
      <c r="B36" s="2">
        <v>872</v>
      </c>
      <c r="C36" s="7">
        <v>43972</v>
      </c>
      <c r="D36" s="2" t="str">
        <f>"2020008366"</f>
        <v>2020008366</v>
      </c>
      <c r="E36" s="7">
        <v>43909</v>
      </c>
      <c r="F36" s="2">
        <v>0</v>
      </c>
      <c r="G36" s="2">
        <v>0</v>
      </c>
      <c r="H36" s="7">
        <v>43972</v>
      </c>
      <c r="I36" s="7">
        <v>43951</v>
      </c>
      <c r="J36" s="2" t="s">
        <v>19</v>
      </c>
      <c r="K36" s="2">
        <v>41.72</v>
      </c>
      <c r="L36" s="2">
        <v>7.52</v>
      </c>
      <c r="M36" s="2">
        <v>34.200000000000003</v>
      </c>
      <c r="N36" s="2">
        <v>21</v>
      </c>
      <c r="O36" s="8">
        <f t="shared" si="0"/>
        <v>718.2</v>
      </c>
      <c r="P36" s="1" t="s">
        <v>20</v>
      </c>
      <c r="R36" s="1" t="s">
        <v>22</v>
      </c>
    </row>
    <row r="37" spans="1:18" x14ac:dyDescent="0.25">
      <c r="A37" s="6" t="s">
        <v>29</v>
      </c>
      <c r="B37" s="2">
        <v>955</v>
      </c>
      <c r="C37" s="7">
        <v>43988</v>
      </c>
      <c r="D37" s="2" t="s">
        <v>46</v>
      </c>
      <c r="E37" s="7">
        <v>43832</v>
      </c>
      <c r="F37" s="2">
        <v>0</v>
      </c>
      <c r="G37" s="2">
        <v>0</v>
      </c>
      <c r="H37" s="7">
        <v>43988</v>
      </c>
      <c r="I37" s="7">
        <v>43973</v>
      </c>
      <c r="J37" s="2" t="s">
        <v>19</v>
      </c>
      <c r="K37" s="2">
        <v>888.72</v>
      </c>
      <c r="L37" s="2">
        <v>159.72</v>
      </c>
      <c r="M37" s="2">
        <v>729</v>
      </c>
      <c r="N37" s="2">
        <v>15</v>
      </c>
      <c r="O37" s="8">
        <f t="shared" si="0"/>
        <v>10935</v>
      </c>
      <c r="P37" s="1" t="s">
        <v>20</v>
      </c>
      <c r="R37" s="1" t="s">
        <v>47</v>
      </c>
    </row>
    <row r="38" spans="1:18" x14ac:dyDescent="0.25">
      <c r="A38" s="6" t="s">
        <v>29</v>
      </c>
      <c r="B38" s="2">
        <v>952</v>
      </c>
      <c r="C38" s="7">
        <v>43988</v>
      </c>
      <c r="D38" s="2" t="s">
        <v>48</v>
      </c>
      <c r="E38" s="7">
        <v>43864</v>
      </c>
      <c r="F38" s="2">
        <v>0</v>
      </c>
      <c r="G38" s="2">
        <v>0</v>
      </c>
      <c r="H38" s="7">
        <v>43988</v>
      </c>
      <c r="I38" s="7">
        <v>43973</v>
      </c>
      <c r="J38" s="2" t="s">
        <v>19</v>
      </c>
      <c r="K38" s="2">
        <v>598.35</v>
      </c>
      <c r="L38" s="2">
        <v>107.22</v>
      </c>
      <c r="M38" s="2">
        <v>491.13</v>
      </c>
      <c r="N38" s="2">
        <v>15</v>
      </c>
      <c r="O38" s="8">
        <f t="shared" si="0"/>
        <v>7366.95</v>
      </c>
      <c r="P38" s="1" t="s">
        <v>20</v>
      </c>
      <c r="R38" s="1" t="s">
        <v>31</v>
      </c>
    </row>
    <row r="39" spans="1:18" x14ac:dyDescent="0.25">
      <c r="A39" s="6" t="s">
        <v>29</v>
      </c>
      <c r="B39" s="2">
        <v>953</v>
      </c>
      <c r="C39" s="7">
        <v>43988</v>
      </c>
      <c r="D39" s="2" t="s">
        <v>49</v>
      </c>
      <c r="E39" s="7">
        <v>43864</v>
      </c>
      <c r="F39" s="2">
        <v>0</v>
      </c>
      <c r="G39" s="2">
        <v>0</v>
      </c>
      <c r="H39" s="7">
        <v>43988</v>
      </c>
      <c r="I39" s="7">
        <v>43973</v>
      </c>
      <c r="J39" s="2" t="s">
        <v>19</v>
      </c>
      <c r="K39" s="2">
        <v>831.72</v>
      </c>
      <c r="L39" s="2">
        <v>149.44</v>
      </c>
      <c r="M39" s="2">
        <v>682.28</v>
      </c>
      <c r="N39" s="2">
        <v>15</v>
      </c>
      <c r="O39" s="8">
        <f t="shared" si="0"/>
        <v>10234.199999999999</v>
      </c>
      <c r="P39" s="1" t="s">
        <v>20</v>
      </c>
      <c r="R39" s="1" t="s">
        <v>31</v>
      </c>
    </row>
    <row r="40" spans="1:18" x14ac:dyDescent="0.25">
      <c r="A40" s="6" t="s">
        <v>29</v>
      </c>
      <c r="B40" s="2">
        <v>951</v>
      </c>
      <c r="C40" s="7">
        <v>43988</v>
      </c>
      <c r="D40" s="2" t="s">
        <v>50</v>
      </c>
      <c r="E40" s="7">
        <v>43802</v>
      </c>
      <c r="F40" s="2">
        <v>0</v>
      </c>
      <c r="G40" s="2">
        <v>0</v>
      </c>
      <c r="H40" s="7">
        <v>43988</v>
      </c>
      <c r="I40" s="7">
        <v>43973</v>
      </c>
      <c r="J40" s="2" t="s">
        <v>19</v>
      </c>
      <c r="K40" s="2">
        <v>660.86</v>
      </c>
      <c r="L40" s="2">
        <v>119.17</v>
      </c>
      <c r="M40" s="2">
        <v>541.69000000000005</v>
      </c>
      <c r="N40" s="2">
        <v>15</v>
      </c>
      <c r="O40" s="8">
        <f t="shared" si="0"/>
        <v>8125.35</v>
      </c>
      <c r="P40" s="1" t="s">
        <v>20</v>
      </c>
      <c r="R40" s="1" t="s">
        <v>45</v>
      </c>
    </row>
    <row r="41" spans="1:18" x14ac:dyDescent="0.25">
      <c r="A41" s="6" t="s">
        <v>29</v>
      </c>
      <c r="B41" s="2">
        <v>954</v>
      </c>
      <c r="C41" s="7">
        <v>43988</v>
      </c>
      <c r="D41" s="2" t="s">
        <v>51</v>
      </c>
      <c r="E41" s="7">
        <v>43864</v>
      </c>
      <c r="F41" s="2">
        <v>0</v>
      </c>
      <c r="G41" s="2">
        <v>0</v>
      </c>
      <c r="H41" s="7">
        <v>43988</v>
      </c>
      <c r="I41" s="7">
        <v>43973</v>
      </c>
      <c r="J41" s="2" t="s">
        <v>19</v>
      </c>
      <c r="K41" s="2">
        <v>702.78</v>
      </c>
      <c r="L41" s="2">
        <v>126.17</v>
      </c>
      <c r="M41" s="2">
        <v>576.61</v>
      </c>
      <c r="N41" s="2">
        <v>15</v>
      </c>
      <c r="O41" s="8">
        <f t="shared" si="0"/>
        <v>8649.15</v>
      </c>
      <c r="P41" s="1" t="s">
        <v>20</v>
      </c>
      <c r="R41" s="1" t="s">
        <v>31</v>
      </c>
    </row>
    <row r="42" spans="1:18" x14ac:dyDescent="0.25">
      <c r="A42" s="6" t="s">
        <v>29</v>
      </c>
      <c r="B42" s="2">
        <v>962</v>
      </c>
      <c r="C42" s="7">
        <v>43994</v>
      </c>
      <c r="D42" s="2" t="s">
        <v>52</v>
      </c>
      <c r="E42" s="7">
        <v>43953</v>
      </c>
      <c r="F42" s="2">
        <v>0</v>
      </c>
      <c r="G42" s="2">
        <v>0</v>
      </c>
      <c r="H42" s="7">
        <v>43994</v>
      </c>
      <c r="I42" s="7">
        <v>43985</v>
      </c>
      <c r="J42" s="2" t="s">
        <v>19</v>
      </c>
      <c r="K42" s="2">
        <v>322.89999999999998</v>
      </c>
      <c r="L42" s="2">
        <v>58.23</v>
      </c>
      <c r="M42" s="2">
        <v>264.67</v>
      </c>
      <c r="N42" s="2">
        <v>9</v>
      </c>
      <c r="O42" s="8">
        <f t="shared" si="0"/>
        <v>2382.0300000000002</v>
      </c>
      <c r="P42" s="1" t="s">
        <v>20</v>
      </c>
      <c r="R42" s="1" t="s">
        <v>31</v>
      </c>
    </row>
    <row r="43" spans="1:18" x14ac:dyDescent="0.25">
      <c r="A43" s="6" t="s">
        <v>29</v>
      </c>
      <c r="B43" s="2">
        <v>930</v>
      </c>
      <c r="C43" s="7">
        <v>43981</v>
      </c>
      <c r="D43" s="2" t="s">
        <v>53</v>
      </c>
      <c r="E43" s="7">
        <v>43832</v>
      </c>
      <c r="F43" s="2">
        <v>0</v>
      </c>
      <c r="G43" s="2">
        <v>0</v>
      </c>
      <c r="H43" s="7">
        <v>43981</v>
      </c>
      <c r="I43" s="7">
        <v>43973</v>
      </c>
      <c r="J43" s="2" t="s">
        <v>19</v>
      </c>
      <c r="K43" s="9">
        <v>3462.19</v>
      </c>
      <c r="L43" s="2">
        <v>622.01</v>
      </c>
      <c r="M43" s="9">
        <v>2840.18</v>
      </c>
      <c r="N43" s="2">
        <v>8</v>
      </c>
      <c r="O43" s="8">
        <f t="shared" si="0"/>
        <v>22721.439999999999</v>
      </c>
      <c r="P43" s="1" t="s">
        <v>20</v>
      </c>
      <c r="R43" s="1" t="s">
        <v>47</v>
      </c>
    </row>
    <row r="44" spans="1:18" x14ac:dyDescent="0.25">
      <c r="A44" s="6" t="s">
        <v>29</v>
      </c>
      <c r="B44" s="2">
        <v>938</v>
      </c>
      <c r="C44" s="7">
        <v>43981</v>
      </c>
      <c r="D44" s="2" t="s">
        <v>54</v>
      </c>
      <c r="E44" s="7">
        <v>43771</v>
      </c>
      <c r="F44" s="2">
        <v>0</v>
      </c>
      <c r="G44" s="2">
        <v>0</v>
      </c>
      <c r="H44" s="7">
        <v>43981</v>
      </c>
      <c r="I44" s="7">
        <v>43973</v>
      </c>
      <c r="J44" s="2" t="s">
        <v>19</v>
      </c>
      <c r="K44" s="2">
        <v>338.46</v>
      </c>
      <c r="L44" s="2">
        <v>61.03</v>
      </c>
      <c r="M44" s="2">
        <v>277.43</v>
      </c>
      <c r="N44" s="2">
        <v>8</v>
      </c>
      <c r="O44" s="8">
        <f t="shared" si="0"/>
        <v>2219.44</v>
      </c>
      <c r="P44" s="1" t="s">
        <v>20</v>
      </c>
      <c r="R44" s="1" t="s">
        <v>45</v>
      </c>
    </row>
    <row r="45" spans="1:18" x14ac:dyDescent="0.25">
      <c r="A45" s="6" t="s">
        <v>29</v>
      </c>
      <c r="B45" s="2">
        <v>929</v>
      </c>
      <c r="C45" s="7">
        <v>43981</v>
      </c>
      <c r="D45" s="2" t="s">
        <v>55</v>
      </c>
      <c r="E45" s="7">
        <v>43832</v>
      </c>
      <c r="F45" s="2">
        <v>0</v>
      </c>
      <c r="G45" s="2">
        <v>0</v>
      </c>
      <c r="H45" s="7">
        <v>43981</v>
      </c>
      <c r="I45" s="7">
        <v>43973</v>
      </c>
      <c r="J45" s="2" t="s">
        <v>19</v>
      </c>
      <c r="K45" s="2">
        <v>499.93</v>
      </c>
      <c r="L45" s="2">
        <v>89.58</v>
      </c>
      <c r="M45" s="2">
        <v>410.35</v>
      </c>
      <c r="N45" s="2">
        <v>8</v>
      </c>
      <c r="O45" s="8">
        <f t="shared" si="0"/>
        <v>3282.8</v>
      </c>
      <c r="P45" s="1" t="s">
        <v>20</v>
      </c>
      <c r="R45" s="1" t="s">
        <v>47</v>
      </c>
    </row>
    <row r="46" spans="1:18" x14ac:dyDescent="0.25">
      <c r="A46" s="6" t="s">
        <v>29</v>
      </c>
      <c r="B46" s="2">
        <v>940</v>
      </c>
      <c r="C46" s="7">
        <v>43981</v>
      </c>
      <c r="D46" s="2" t="s">
        <v>56</v>
      </c>
      <c r="E46" s="7">
        <v>43771</v>
      </c>
      <c r="F46" s="2">
        <v>0</v>
      </c>
      <c r="G46" s="2">
        <v>0</v>
      </c>
      <c r="H46" s="7">
        <v>43981</v>
      </c>
      <c r="I46" s="7">
        <v>43973</v>
      </c>
      <c r="J46" s="2" t="s">
        <v>19</v>
      </c>
      <c r="K46" s="2">
        <v>722.22</v>
      </c>
      <c r="L46" s="2">
        <v>130.24</v>
      </c>
      <c r="M46" s="2">
        <v>591.98</v>
      </c>
      <c r="N46" s="2">
        <v>8</v>
      </c>
      <c r="O46" s="8">
        <f t="shared" si="0"/>
        <v>4735.84</v>
      </c>
      <c r="P46" s="1" t="s">
        <v>20</v>
      </c>
      <c r="R46" s="1" t="s">
        <v>45</v>
      </c>
    </row>
    <row r="47" spans="1:18" x14ac:dyDescent="0.25">
      <c r="A47" s="6" t="s">
        <v>29</v>
      </c>
      <c r="B47" s="2">
        <v>932</v>
      </c>
      <c r="C47" s="7">
        <v>43981</v>
      </c>
      <c r="D47" s="2" t="s">
        <v>57</v>
      </c>
      <c r="E47" s="7">
        <v>43832</v>
      </c>
      <c r="F47" s="2">
        <v>0</v>
      </c>
      <c r="G47" s="2">
        <v>0</v>
      </c>
      <c r="H47" s="7">
        <v>43981</v>
      </c>
      <c r="I47" s="7">
        <v>43973</v>
      </c>
      <c r="J47" s="2" t="s">
        <v>19</v>
      </c>
      <c r="K47" s="2">
        <v>608.72</v>
      </c>
      <c r="L47" s="2">
        <v>109.48</v>
      </c>
      <c r="M47" s="2">
        <v>499.24</v>
      </c>
      <c r="N47" s="2">
        <v>8</v>
      </c>
      <c r="O47" s="8">
        <f t="shared" si="0"/>
        <v>3993.92</v>
      </c>
      <c r="P47" s="1" t="s">
        <v>20</v>
      </c>
      <c r="R47" s="1" t="s">
        <v>47</v>
      </c>
    </row>
    <row r="48" spans="1:18" x14ac:dyDescent="0.25">
      <c r="A48" s="6" t="s">
        <v>29</v>
      </c>
      <c r="B48" s="2">
        <v>934</v>
      </c>
      <c r="C48" s="7">
        <v>43981</v>
      </c>
      <c r="D48" s="2" t="s">
        <v>58</v>
      </c>
      <c r="E48" s="7">
        <v>43832</v>
      </c>
      <c r="F48" s="2">
        <v>0</v>
      </c>
      <c r="G48" s="2">
        <v>0</v>
      </c>
      <c r="H48" s="7">
        <v>43981</v>
      </c>
      <c r="I48" s="7">
        <v>43973</v>
      </c>
      <c r="J48" s="2" t="s">
        <v>19</v>
      </c>
      <c r="K48" s="2">
        <v>350.73</v>
      </c>
      <c r="L48" s="2">
        <v>63.09</v>
      </c>
      <c r="M48" s="2">
        <v>287.64</v>
      </c>
      <c r="N48" s="2">
        <v>8</v>
      </c>
      <c r="O48" s="8">
        <f t="shared" si="0"/>
        <v>2301.12</v>
      </c>
      <c r="P48" s="1" t="s">
        <v>20</v>
      </c>
      <c r="R48" s="1" t="s">
        <v>47</v>
      </c>
    </row>
    <row r="49" spans="1:18" x14ac:dyDescent="0.25">
      <c r="A49" s="6" t="s">
        <v>29</v>
      </c>
      <c r="B49" s="2">
        <v>923</v>
      </c>
      <c r="C49" s="7">
        <v>43980</v>
      </c>
      <c r="D49" s="2" t="s">
        <v>59</v>
      </c>
      <c r="E49" s="7">
        <v>43802</v>
      </c>
      <c r="F49" s="2">
        <v>0</v>
      </c>
      <c r="G49" s="2">
        <v>0</v>
      </c>
      <c r="H49" s="7">
        <v>43981</v>
      </c>
      <c r="I49" s="7">
        <v>43973</v>
      </c>
      <c r="J49" s="2" t="s">
        <v>19</v>
      </c>
      <c r="K49" s="9">
        <v>1264.55</v>
      </c>
      <c r="L49" s="2">
        <v>228.03</v>
      </c>
      <c r="M49" s="9">
        <v>1036.52</v>
      </c>
      <c r="N49" s="2">
        <v>8</v>
      </c>
      <c r="O49" s="8">
        <f t="shared" si="0"/>
        <v>8292.16</v>
      </c>
      <c r="P49" s="1" t="s">
        <v>20</v>
      </c>
      <c r="R49" s="1" t="s">
        <v>45</v>
      </c>
    </row>
    <row r="50" spans="1:18" x14ac:dyDescent="0.25">
      <c r="A50" s="6" t="s">
        <v>29</v>
      </c>
      <c r="B50" s="2">
        <v>926</v>
      </c>
      <c r="C50" s="7">
        <v>43980</v>
      </c>
      <c r="D50" s="2" t="s">
        <v>60</v>
      </c>
      <c r="E50" s="7">
        <v>43802</v>
      </c>
      <c r="F50" s="2">
        <v>0</v>
      </c>
      <c r="G50" s="2">
        <v>0</v>
      </c>
      <c r="H50" s="7">
        <v>43981</v>
      </c>
      <c r="I50" s="7">
        <v>43973</v>
      </c>
      <c r="J50" s="2" t="s">
        <v>19</v>
      </c>
      <c r="K50" s="2">
        <v>343.7</v>
      </c>
      <c r="L50" s="2">
        <v>61.98</v>
      </c>
      <c r="M50" s="2">
        <v>281.72000000000003</v>
      </c>
      <c r="N50" s="2">
        <v>8</v>
      </c>
      <c r="O50" s="8">
        <f t="shared" si="0"/>
        <v>2253.7600000000002</v>
      </c>
      <c r="P50" s="1" t="s">
        <v>20</v>
      </c>
      <c r="R50" s="1" t="s">
        <v>45</v>
      </c>
    </row>
    <row r="51" spans="1:18" x14ac:dyDescent="0.25">
      <c r="A51" s="6" t="s">
        <v>29</v>
      </c>
      <c r="B51" s="2">
        <v>919</v>
      </c>
      <c r="C51" s="7">
        <v>43980</v>
      </c>
      <c r="D51" s="2" t="s">
        <v>61</v>
      </c>
      <c r="E51" s="7">
        <v>43802</v>
      </c>
      <c r="F51" s="2">
        <v>0</v>
      </c>
      <c r="G51" s="2">
        <v>0</v>
      </c>
      <c r="H51" s="7">
        <v>43981</v>
      </c>
      <c r="I51" s="7">
        <v>43973</v>
      </c>
      <c r="J51" s="2" t="s">
        <v>19</v>
      </c>
      <c r="K51" s="2">
        <v>701.15</v>
      </c>
      <c r="L51" s="2">
        <v>126.44</v>
      </c>
      <c r="M51" s="2">
        <v>574.71</v>
      </c>
      <c r="N51" s="2">
        <v>8</v>
      </c>
      <c r="O51" s="8">
        <f t="shared" si="0"/>
        <v>4597.68</v>
      </c>
      <c r="P51" s="1" t="s">
        <v>20</v>
      </c>
      <c r="R51" s="1" t="s">
        <v>45</v>
      </c>
    </row>
    <row r="52" spans="1:18" x14ac:dyDescent="0.25">
      <c r="A52" s="6" t="s">
        <v>29</v>
      </c>
      <c r="B52" s="2">
        <v>911</v>
      </c>
      <c r="C52" s="7">
        <v>43980</v>
      </c>
      <c r="D52" s="2" t="s">
        <v>62</v>
      </c>
      <c r="E52" s="7">
        <v>43864</v>
      </c>
      <c r="F52" s="2">
        <v>0</v>
      </c>
      <c r="G52" s="2">
        <v>0</v>
      </c>
      <c r="H52" s="7">
        <v>43981</v>
      </c>
      <c r="I52" s="7">
        <v>43973</v>
      </c>
      <c r="J52" s="2" t="s">
        <v>19</v>
      </c>
      <c r="K52" s="2">
        <v>518.27</v>
      </c>
      <c r="L52" s="2">
        <v>93.46</v>
      </c>
      <c r="M52" s="2">
        <v>424.81</v>
      </c>
      <c r="N52" s="2">
        <v>8</v>
      </c>
      <c r="O52" s="8">
        <f t="shared" si="0"/>
        <v>3398.48</v>
      </c>
      <c r="P52" s="1" t="s">
        <v>20</v>
      </c>
      <c r="R52" s="1" t="s">
        <v>31</v>
      </c>
    </row>
    <row r="53" spans="1:18" x14ac:dyDescent="0.25">
      <c r="A53" s="6" t="s">
        <v>29</v>
      </c>
      <c r="B53" s="2">
        <v>942</v>
      </c>
      <c r="C53" s="7">
        <v>43981</v>
      </c>
      <c r="D53" s="2" t="s">
        <v>63</v>
      </c>
      <c r="E53" s="7">
        <v>43771</v>
      </c>
      <c r="F53" s="2">
        <v>0</v>
      </c>
      <c r="G53" s="2">
        <v>0</v>
      </c>
      <c r="H53" s="7">
        <v>43981</v>
      </c>
      <c r="I53" s="7">
        <v>43973</v>
      </c>
      <c r="J53" s="2" t="s">
        <v>19</v>
      </c>
      <c r="K53" s="2">
        <v>577.21</v>
      </c>
      <c r="L53" s="2">
        <v>104.09</v>
      </c>
      <c r="M53" s="2">
        <v>473.12</v>
      </c>
      <c r="N53" s="2">
        <v>8</v>
      </c>
      <c r="O53" s="8">
        <f t="shared" si="0"/>
        <v>3784.96</v>
      </c>
      <c r="P53" s="1" t="s">
        <v>20</v>
      </c>
      <c r="R53" s="1" t="s">
        <v>45</v>
      </c>
    </row>
    <row r="54" spans="1:18" x14ac:dyDescent="0.25">
      <c r="A54" s="6" t="s">
        <v>29</v>
      </c>
      <c r="B54" s="2">
        <v>936</v>
      </c>
      <c r="C54" s="7">
        <v>43981</v>
      </c>
      <c r="D54" s="2" t="s">
        <v>64</v>
      </c>
      <c r="E54" s="7">
        <v>43832</v>
      </c>
      <c r="F54" s="2">
        <v>0</v>
      </c>
      <c r="G54" s="2">
        <v>0</v>
      </c>
      <c r="H54" s="7">
        <v>43981</v>
      </c>
      <c r="I54" s="7">
        <v>43973</v>
      </c>
      <c r="J54" s="2" t="s">
        <v>19</v>
      </c>
      <c r="K54" s="2">
        <v>328.65</v>
      </c>
      <c r="L54" s="2">
        <v>58.9</v>
      </c>
      <c r="M54" s="2">
        <v>269.75</v>
      </c>
      <c r="N54" s="2">
        <v>8</v>
      </c>
      <c r="O54" s="8">
        <f t="shared" si="0"/>
        <v>2158</v>
      </c>
      <c r="P54" s="1" t="s">
        <v>20</v>
      </c>
      <c r="R54" s="1" t="s">
        <v>47</v>
      </c>
    </row>
    <row r="55" spans="1:18" x14ac:dyDescent="0.25">
      <c r="A55" s="6" t="s">
        <v>29</v>
      </c>
      <c r="B55" s="2">
        <v>944</v>
      </c>
      <c r="C55" s="7">
        <v>43981</v>
      </c>
      <c r="D55" s="2" t="s">
        <v>65</v>
      </c>
      <c r="E55" s="7">
        <v>43771</v>
      </c>
      <c r="F55" s="2">
        <v>0</v>
      </c>
      <c r="G55" s="2">
        <v>0</v>
      </c>
      <c r="H55" s="7">
        <v>43981</v>
      </c>
      <c r="I55" s="7">
        <v>43973</v>
      </c>
      <c r="J55" s="2" t="s">
        <v>19</v>
      </c>
      <c r="K55" s="2">
        <v>724.94</v>
      </c>
      <c r="L55" s="2">
        <v>130.72999999999999</v>
      </c>
      <c r="M55" s="2">
        <v>594.21</v>
      </c>
      <c r="N55" s="2">
        <v>8</v>
      </c>
      <c r="O55" s="8">
        <f t="shared" si="0"/>
        <v>4753.68</v>
      </c>
      <c r="P55" s="1" t="s">
        <v>20</v>
      </c>
      <c r="R55" s="1" t="s">
        <v>45</v>
      </c>
    </row>
    <row r="56" spans="1:18" x14ac:dyDescent="0.25">
      <c r="A56" s="6" t="s">
        <v>29</v>
      </c>
      <c r="B56" s="2">
        <v>723</v>
      </c>
      <c r="C56" s="7">
        <v>43960</v>
      </c>
      <c r="D56" s="2" t="s">
        <v>66</v>
      </c>
      <c r="E56" s="7">
        <v>43922</v>
      </c>
      <c r="F56" s="2">
        <v>0</v>
      </c>
      <c r="G56" s="2">
        <v>0</v>
      </c>
      <c r="H56" s="7">
        <v>43960</v>
      </c>
      <c r="I56" s="7">
        <v>43952</v>
      </c>
      <c r="J56" s="2" t="s">
        <v>19</v>
      </c>
      <c r="K56" s="2">
        <v>566.07000000000005</v>
      </c>
      <c r="L56" s="2">
        <v>102.08</v>
      </c>
      <c r="M56" s="2">
        <v>463.99</v>
      </c>
      <c r="N56" s="2">
        <v>8</v>
      </c>
      <c r="O56" s="8">
        <f t="shared" si="0"/>
        <v>3711.92</v>
      </c>
      <c r="P56" s="1" t="s">
        <v>20</v>
      </c>
      <c r="R56" s="1" t="s">
        <v>31</v>
      </c>
    </row>
    <row r="57" spans="1:18" x14ac:dyDescent="0.25">
      <c r="A57" s="6" t="s">
        <v>29</v>
      </c>
      <c r="B57" s="2">
        <v>928</v>
      </c>
      <c r="C57" s="7">
        <v>43981</v>
      </c>
      <c r="D57" s="2" t="s">
        <v>67</v>
      </c>
      <c r="E57" s="7">
        <v>43832</v>
      </c>
      <c r="F57" s="2">
        <v>0</v>
      </c>
      <c r="G57" s="2">
        <v>0</v>
      </c>
      <c r="H57" s="7">
        <v>43981</v>
      </c>
      <c r="I57" s="7">
        <v>43973</v>
      </c>
      <c r="J57" s="2" t="s">
        <v>19</v>
      </c>
      <c r="K57" s="2">
        <v>684.61</v>
      </c>
      <c r="L57" s="2">
        <v>123.07</v>
      </c>
      <c r="M57" s="2">
        <v>561.54</v>
      </c>
      <c r="N57" s="2">
        <v>8</v>
      </c>
      <c r="O57" s="8">
        <f t="shared" si="0"/>
        <v>4492.32</v>
      </c>
      <c r="P57" s="1" t="s">
        <v>20</v>
      </c>
      <c r="R57" s="1" t="s">
        <v>47</v>
      </c>
    </row>
    <row r="58" spans="1:18" x14ac:dyDescent="0.25">
      <c r="A58" s="6" t="s">
        <v>29</v>
      </c>
      <c r="B58" s="2">
        <v>941</v>
      </c>
      <c r="C58" s="7">
        <v>43981</v>
      </c>
      <c r="D58" s="2" t="s">
        <v>68</v>
      </c>
      <c r="E58" s="7">
        <v>43771</v>
      </c>
      <c r="F58" s="2">
        <v>0</v>
      </c>
      <c r="G58" s="2">
        <v>0</v>
      </c>
      <c r="H58" s="7">
        <v>43981</v>
      </c>
      <c r="I58" s="7">
        <v>43973</v>
      </c>
      <c r="J58" s="2" t="s">
        <v>19</v>
      </c>
      <c r="K58" s="9">
        <v>3732.07</v>
      </c>
      <c r="L58" s="2">
        <v>673</v>
      </c>
      <c r="M58" s="9">
        <v>3059.07</v>
      </c>
      <c r="N58" s="2">
        <v>8</v>
      </c>
      <c r="O58" s="8">
        <f t="shared" si="0"/>
        <v>24472.560000000001</v>
      </c>
      <c r="P58" s="1" t="s">
        <v>20</v>
      </c>
      <c r="R58" s="1" t="s">
        <v>45</v>
      </c>
    </row>
    <row r="59" spans="1:18" x14ac:dyDescent="0.25">
      <c r="A59" s="6" t="s">
        <v>29</v>
      </c>
      <c r="B59" s="2">
        <v>925</v>
      </c>
      <c r="C59" s="7">
        <v>43980</v>
      </c>
      <c r="D59" s="2" t="s">
        <v>69</v>
      </c>
      <c r="E59" s="7">
        <v>43832</v>
      </c>
      <c r="F59" s="2">
        <v>0</v>
      </c>
      <c r="G59" s="2">
        <v>0</v>
      </c>
      <c r="H59" s="7">
        <v>43981</v>
      </c>
      <c r="I59" s="7">
        <v>43973</v>
      </c>
      <c r="J59" s="2" t="s">
        <v>19</v>
      </c>
      <c r="K59" s="2">
        <v>274.10000000000002</v>
      </c>
      <c r="L59" s="2">
        <v>48.75</v>
      </c>
      <c r="M59" s="2">
        <v>225.35</v>
      </c>
      <c r="N59" s="2">
        <v>8</v>
      </c>
      <c r="O59" s="8">
        <f t="shared" si="0"/>
        <v>1802.8</v>
      </c>
      <c r="P59" s="1" t="s">
        <v>20</v>
      </c>
      <c r="R59" s="1" t="s">
        <v>47</v>
      </c>
    </row>
    <row r="60" spans="1:18" x14ac:dyDescent="0.25">
      <c r="A60" s="6" t="s">
        <v>29</v>
      </c>
      <c r="B60" s="2">
        <v>943</v>
      </c>
      <c r="C60" s="7">
        <v>43981</v>
      </c>
      <c r="D60" s="2" t="s">
        <v>70</v>
      </c>
      <c r="E60" s="7">
        <v>43771</v>
      </c>
      <c r="F60" s="2">
        <v>0</v>
      </c>
      <c r="G60" s="2">
        <v>0</v>
      </c>
      <c r="H60" s="7">
        <v>43981</v>
      </c>
      <c r="I60" s="7">
        <v>43973</v>
      </c>
      <c r="J60" s="2" t="s">
        <v>19</v>
      </c>
      <c r="K60" s="2">
        <v>596.66999999999996</v>
      </c>
      <c r="L60" s="2">
        <v>107.6</v>
      </c>
      <c r="M60" s="2">
        <v>489.07</v>
      </c>
      <c r="N60" s="2">
        <v>8</v>
      </c>
      <c r="O60" s="8">
        <f t="shared" si="0"/>
        <v>3912.56</v>
      </c>
      <c r="P60" s="1" t="s">
        <v>20</v>
      </c>
      <c r="R60" s="1" t="s">
        <v>45</v>
      </c>
    </row>
    <row r="61" spans="1:18" x14ac:dyDescent="0.25">
      <c r="A61" s="6" t="s">
        <v>29</v>
      </c>
      <c r="B61" s="2">
        <v>933</v>
      </c>
      <c r="C61" s="7">
        <v>43981</v>
      </c>
      <c r="D61" s="2" t="s">
        <v>71</v>
      </c>
      <c r="E61" s="7">
        <v>43832</v>
      </c>
      <c r="F61" s="2">
        <v>0</v>
      </c>
      <c r="G61" s="2">
        <v>0</v>
      </c>
      <c r="H61" s="7">
        <v>43981</v>
      </c>
      <c r="I61" s="7">
        <v>43973</v>
      </c>
      <c r="J61" s="2" t="s">
        <v>19</v>
      </c>
      <c r="K61" s="9">
        <v>1219.1500000000001</v>
      </c>
      <c r="L61" s="2">
        <v>219.53</v>
      </c>
      <c r="M61" s="2">
        <v>999.62</v>
      </c>
      <c r="N61" s="2">
        <v>8</v>
      </c>
      <c r="O61" s="8">
        <f t="shared" si="0"/>
        <v>7996.96</v>
      </c>
      <c r="P61" s="1" t="s">
        <v>20</v>
      </c>
      <c r="R61" s="1" t="s">
        <v>47</v>
      </c>
    </row>
    <row r="62" spans="1:18" x14ac:dyDescent="0.25">
      <c r="A62" s="6" t="s">
        <v>29</v>
      </c>
      <c r="B62" s="2">
        <v>920</v>
      </c>
      <c r="C62" s="7">
        <v>43980</v>
      </c>
      <c r="D62" s="2" t="s">
        <v>72</v>
      </c>
      <c r="E62" s="7">
        <v>43802</v>
      </c>
      <c r="F62" s="2">
        <v>0</v>
      </c>
      <c r="G62" s="2">
        <v>0</v>
      </c>
      <c r="H62" s="7">
        <v>43981</v>
      </c>
      <c r="I62" s="7">
        <v>43973</v>
      </c>
      <c r="J62" s="2" t="s">
        <v>19</v>
      </c>
      <c r="K62" s="2">
        <v>575.23</v>
      </c>
      <c r="L62" s="2">
        <v>103.73</v>
      </c>
      <c r="M62" s="2">
        <v>471.5</v>
      </c>
      <c r="N62" s="2">
        <v>8</v>
      </c>
      <c r="O62" s="8">
        <f t="shared" si="0"/>
        <v>3772</v>
      </c>
      <c r="P62" s="1" t="s">
        <v>20</v>
      </c>
      <c r="R62" s="1" t="s">
        <v>45</v>
      </c>
    </row>
    <row r="63" spans="1:18" x14ac:dyDescent="0.25">
      <c r="A63" s="6" t="s">
        <v>29</v>
      </c>
      <c r="B63" s="2">
        <v>927</v>
      </c>
      <c r="C63" s="7">
        <v>43980</v>
      </c>
      <c r="D63" s="2" t="s">
        <v>73</v>
      </c>
      <c r="E63" s="7">
        <v>43802</v>
      </c>
      <c r="F63" s="2">
        <v>0</v>
      </c>
      <c r="G63" s="2">
        <v>0</v>
      </c>
      <c r="H63" s="7">
        <v>43981</v>
      </c>
      <c r="I63" s="7">
        <v>43973</v>
      </c>
      <c r="J63" s="2" t="s">
        <v>19</v>
      </c>
      <c r="K63" s="2">
        <v>561.9</v>
      </c>
      <c r="L63" s="2">
        <v>101.33</v>
      </c>
      <c r="M63" s="2">
        <v>460.57</v>
      </c>
      <c r="N63" s="2">
        <v>8</v>
      </c>
      <c r="O63" s="8">
        <f t="shared" si="0"/>
        <v>3684.56</v>
      </c>
      <c r="P63" s="1" t="s">
        <v>20</v>
      </c>
      <c r="R63" s="1" t="s">
        <v>45</v>
      </c>
    </row>
    <row r="64" spans="1:18" x14ac:dyDescent="0.25">
      <c r="A64" s="6" t="s">
        <v>29</v>
      </c>
      <c r="B64" s="2">
        <v>922</v>
      </c>
      <c r="C64" s="7">
        <v>43980</v>
      </c>
      <c r="D64" s="2" t="s">
        <v>74</v>
      </c>
      <c r="E64" s="7">
        <v>43802</v>
      </c>
      <c r="F64" s="2">
        <v>0</v>
      </c>
      <c r="G64" s="2">
        <v>0</v>
      </c>
      <c r="H64" s="7">
        <v>43981</v>
      </c>
      <c r="I64" s="7">
        <v>43973</v>
      </c>
      <c r="J64" s="2" t="s">
        <v>19</v>
      </c>
      <c r="K64" s="2">
        <v>466.05</v>
      </c>
      <c r="L64" s="2">
        <v>84.04</v>
      </c>
      <c r="M64" s="2">
        <v>382.01</v>
      </c>
      <c r="N64" s="2">
        <v>8</v>
      </c>
      <c r="O64" s="8">
        <f t="shared" si="0"/>
        <v>3056.08</v>
      </c>
      <c r="P64" s="1" t="s">
        <v>20</v>
      </c>
      <c r="R64" s="1" t="s">
        <v>45</v>
      </c>
    </row>
    <row r="65" spans="1:18" x14ac:dyDescent="0.25">
      <c r="A65" s="6" t="s">
        <v>29</v>
      </c>
      <c r="B65" s="2">
        <v>935</v>
      </c>
      <c r="C65" s="7">
        <v>43981</v>
      </c>
      <c r="D65" s="2" t="s">
        <v>75</v>
      </c>
      <c r="E65" s="7">
        <v>43832</v>
      </c>
      <c r="F65" s="2">
        <v>0</v>
      </c>
      <c r="G65" s="2">
        <v>0</v>
      </c>
      <c r="H65" s="7">
        <v>43981</v>
      </c>
      <c r="I65" s="7">
        <v>43973</v>
      </c>
      <c r="J65" s="2" t="s">
        <v>19</v>
      </c>
      <c r="K65" s="2">
        <v>352.64</v>
      </c>
      <c r="L65" s="2">
        <v>63.33</v>
      </c>
      <c r="M65" s="2">
        <v>289.31</v>
      </c>
      <c r="N65" s="2">
        <v>8</v>
      </c>
      <c r="O65" s="8">
        <f t="shared" si="0"/>
        <v>2314.48</v>
      </c>
      <c r="P65" s="1" t="s">
        <v>20</v>
      </c>
      <c r="R65" s="1" t="s">
        <v>47</v>
      </c>
    </row>
    <row r="66" spans="1:18" x14ac:dyDescent="0.25">
      <c r="A66" s="6" t="s">
        <v>29</v>
      </c>
      <c r="B66" s="2">
        <v>937</v>
      </c>
      <c r="C66" s="7">
        <v>43981</v>
      </c>
      <c r="D66" s="2" t="s">
        <v>76</v>
      </c>
      <c r="E66" s="7">
        <v>43771</v>
      </c>
      <c r="F66" s="2">
        <v>0</v>
      </c>
      <c r="G66" s="2">
        <v>0</v>
      </c>
      <c r="H66" s="7">
        <v>43981</v>
      </c>
      <c r="I66" s="7">
        <v>43973</v>
      </c>
      <c r="J66" s="2" t="s">
        <v>19</v>
      </c>
      <c r="K66" s="2">
        <v>524.26</v>
      </c>
      <c r="L66" s="2">
        <v>94.54</v>
      </c>
      <c r="M66" s="2">
        <v>429.72</v>
      </c>
      <c r="N66" s="2">
        <v>8</v>
      </c>
      <c r="O66" s="8">
        <f t="shared" si="0"/>
        <v>3437.76</v>
      </c>
      <c r="P66" s="1" t="s">
        <v>20</v>
      </c>
      <c r="R66" s="1" t="s">
        <v>45</v>
      </c>
    </row>
    <row r="67" spans="1:18" x14ac:dyDescent="0.25">
      <c r="A67" s="6" t="s">
        <v>29</v>
      </c>
      <c r="B67" s="2">
        <v>931</v>
      </c>
      <c r="C67" s="7">
        <v>43981</v>
      </c>
      <c r="D67" s="2" t="s">
        <v>77</v>
      </c>
      <c r="E67" s="7">
        <v>43832</v>
      </c>
      <c r="F67" s="2">
        <v>0</v>
      </c>
      <c r="G67" s="2">
        <v>0</v>
      </c>
      <c r="H67" s="7">
        <v>43981</v>
      </c>
      <c r="I67" s="7">
        <v>43973</v>
      </c>
      <c r="J67" s="2" t="s">
        <v>19</v>
      </c>
      <c r="K67" s="9">
        <v>1375.51</v>
      </c>
      <c r="L67" s="2">
        <v>247.67</v>
      </c>
      <c r="M67" s="9">
        <v>1127.8399999999999</v>
      </c>
      <c r="N67" s="2">
        <v>8</v>
      </c>
      <c r="O67" s="8">
        <f t="shared" ref="O67:O130" si="1">+M67*N67</f>
        <v>9022.7199999999993</v>
      </c>
      <c r="P67" s="1" t="s">
        <v>20</v>
      </c>
      <c r="R67" s="1" t="s">
        <v>47</v>
      </c>
    </row>
    <row r="68" spans="1:18" x14ac:dyDescent="0.25">
      <c r="A68" s="6" t="s">
        <v>29</v>
      </c>
      <c r="B68" s="2">
        <v>939</v>
      </c>
      <c r="C68" s="7">
        <v>43981</v>
      </c>
      <c r="D68" s="2" t="s">
        <v>78</v>
      </c>
      <c r="E68" s="7">
        <v>43771</v>
      </c>
      <c r="F68" s="2">
        <v>0</v>
      </c>
      <c r="G68" s="2">
        <v>0</v>
      </c>
      <c r="H68" s="7">
        <v>43981</v>
      </c>
      <c r="I68" s="7">
        <v>43973</v>
      </c>
      <c r="J68" s="2" t="s">
        <v>19</v>
      </c>
      <c r="K68" s="2">
        <v>52.47</v>
      </c>
      <c r="L68" s="2">
        <v>9.4600000000000009</v>
      </c>
      <c r="M68" s="2">
        <v>43.01</v>
      </c>
      <c r="N68" s="2">
        <v>8</v>
      </c>
      <c r="O68" s="8">
        <f t="shared" si="1"/>
        <v>344.08</v>
      </c>
      <c r="P68" s="1" t="s">
        <v>20</v>
      </c>
      <c r="R68" s="1" t="s">
        <v>45</v>
      </c>
    </row>
    <row r="69" spans="1:18" x14ac:dyDescent="0.25">
      <c r="A69" s="6" t="s">
        <v>29</v>
      </c>
      <c r="B69" s="2">
        <v>924</v>
      </c>
      <c r="C69" s="7">
        <v>43980</v>
      </c>
      <c r="D69" s="2" t="s">
        <v>79</v>
      </c>
      <c r="E69" s="7">
        <v>43802</v>
      </c>
      <c r="F69" s="2">
        <v>0</v>
      </c>
      <c r="G69" s="2">
        <v>0</v>
      </c>
      <c r="H69" s="7">
        <v>43981</v>
      </c>
      <c r="I69" s="7">
        <v>43973</v>
      </c>
      <c r="J69" s="2" t="s">
        <v>19</v>
      </c>
      <c r="K69" s="2">
        <v>327.47000000000003</v>
      </c>
      <c r="L69" s="2">
        <v>59.05</v>
      </c>
      <c r="M69" s="2">
        <v>268.42</v>
      </c>
      <c r="N69" s="2">
        <v>8</v>
      </c>
      <c r="O69" s="8">
        <f t="shared" si="1"/>
        <v>2147.36</v>
      </c>
      <c r="P69" s="1" t="s">
        <v>20</v>
      </c>
      <c r="R69" s="1" t="s">
        <v>45</v>
      </c>
    </row>
    <row r="70" spans="1:18" x14ac:dyDescent="0.25">
      <c r="A70" s="6" t="s">
        <v>29</v>
      </c>
      <c r="B70" s="2">
        <v>921</v>
      </c>
      <c r="C70" s="7">
        <v>43980</v>
      </c>
      <c r="D70" s="2" t="s">
        <v>80</v>
      </c>
      <c r="E70" s="7">
        <v>43802</v>
      </c>
      <c r="F70" s="2">
        <v>0</v>
      </c>
      <c r="G70" s="2">
        <v>0</v>
      </c>
      <c r="H70" s="7">
        <v>43981</v>
      </c>
      <c r="I70" s="7">
        <v>43973</v>
      </c>
      <c r="J70" s="2" t="s">
        <v>19</v>
      </c>
      <c r="K70" s="9">
        <v>3970.25</v>
      </c>
      <c r="L70" s="2">
        <v>715.95</v>
      </c>
      <c r="M70" s="9">
        <v>3254.3</v>
      </c>
      <c r="N70" s="2">
        <v>8</v>
      </c>
      <c r="O70" s="8">
        <f t="shared" si="1"/>
        <v>26034.400000000001</v>
      </c>
      <c r="P70" s="1" t="s">
        <v>20</v>
      </c>
      <c r="R70" s="1" t="s">
        <v>45</v>
      </c>
    </row>
    <row r="71" spans="1:18" x14ac:dyDescent="0.25">
      <c r="A71" s="6" t="s">
        <v>81</v>
      </c>
      <c r="B71" s="2">
        <v>563</v>
      </c>
      <c r="C71" s="7">
        <v>43931</v>
      </c>
      <c r="D71" s="2" t="s">
        <v>82</v>
      </c>
      <c r="E71" s="7">
        <v>43888</v>
      </c>
      <c r="F71" s="2">
        <v>0</v>
      </c>
      <c r="G71" s="2">
        <v>0</v>
      </c>
      <c r="H71" s="7">
        <v>43931</v>
      </c>
      <c r="I71" s="7">
        <v>43925</v>
      </c>
      <c r="J71" s="2" t="s">
        <v>19</v>
      </c>
      <c r="K71" s="2">
        <v>333.98</v>
      </c>
      <c r="L71" s="2">
        <v>60.23</v>
      </c>
      <c r="M71" s="2">
        <v>273.75</v>
      </c>
      <c r="N71" s="2">
        <v>6</v>
      </c>
      <c r="O71" s="8">
        <f t="shared" si="1"/>
        <v>1642.5</v>
      </c>
      <c r="P71" s="1" t="s">
        <v>20</v>
      </c>
      <c r="R71" s="1" t="s">
        <v>26</v>
      </c>
    </row>
    <row r="72" spans="1:18" x14ac:dyDescent="0.25">
      <c r="A72" s="6" t="s">
        <v>18</v>
      </c>
      <c r="B72" s="2">
        <v>903</v>
      </c>
      <c r="C72" s="7">
        <v>43977</v>
      </c>
      <c r="D72" s="2" t="str">
        <f>"2020015867"</f>
        <v>2020015867</v>
      </c>
      <c r="E72" s="7">
        <v>43935</v>
      </c>
      <c r="F72" s="2">
        <v>0</v>
      </c>
      <c r="G72" s="2">
        <v>0</v>
      </c>
      <c r="H72" s="7">
        <v>43977</v>
      </c>
      <c r="I72" s="7">
        <v>43973</v>
      </c>
      <c r="J72" s="2" t="s">
        <v>19</v>
      </c>
      <c r="K72" s="2">
        <v>51.24</v>
      </c>
      <c r="L72" s="2">
        <v>9.24</v>
      </c>
      <c r="M72" s="2">
        <v>42</v>
      </c>
      <c r="N72" s="2">
        <v>4</v>
      </c>
      <c r="O72" s="8">
        <f t="shared" si="1"/>
        <v>168</v>
      </c>
      <c r="P72" s="1" t="s">
        <v>20</v>
      </c>
      <c r="R72" s="1" t="s">
        <v>22</v>
      </c>
    </row>
    <row r="73" spans="1:18" x14ac:dyDescent="0.25">
      <c r="A73" s="6" t="s">
        <v>44</v>
      </c>
      <c r="B73" s="2">
        <v>1068</v>
      </c>
      <c r="C73" s="7">
        <v>44002</v>
      </c>
      <c r="D73" s="2" t="str">
        <f>"20092"</f>
        <v>20092</v>
      </c>
      <c r="E73" s="7">
        <v>43970</v>
      </c>
      <c r="F73" s="2">
        <v>0</v>
      </c>
      <c r="G73" s="2">
        <v>0</v>
      </c>
      <c r="H73" s="7">
        <v>44002</v>
      </c>
      <c r="I73" s="7">
        <v>44000</v>
      </c>
      <c r="J73" s="2" t="s">
        <v>19</v>
      </c>
      <c r="K73" s="9">
        <v>1097.55</v>
      </c>
      <c r="L73" s="2">
        <v>197.92</v>
      </c>
      <c r="M73" s="2">
        <v>899.63</v>
      </c>
      <c r="N73" s="2">
        <v>2</v>
      </c>
      <c r="O73" s="8">
        <f t="shared" si="1"/>
        <v>1799.26</v>
      </c>
      <c r="P73" s="1" t="s">
        <v>20</v>
      </c>
      <c r="R73" s="1" t="s">
        <v>45</v>
      </c>
    </row>
    <row r="74" spans="1:18" x14ac:dyDescent="0.25">
      <c r="A74" s="6" t="s">
        <v>83</v>
      </c>
      <c r="B74" s="2">
        <v>718</v>
      </c>
      <c r="C74" s="7">
        <v>43953</v>
      </c>
      <c r="D74" s="2" t="s">
        <v>84</v>
      </c>
      <c r="E74" s="7">
        <v>43892</v>
      </c>
      <c r="F74" s="2">
        <v>0</v>
      </c>
      <c r="G74" s="2">
        <v>0</v>
      </c>
      <c r="H74" s="7">
        <v>43953</v>
      </c>
      <c r="I74" s="7">
        <v>43951</v>
      </c>
      <c r="J74" s="2" t="s">
        <v>19</v>
      </c>
      <c r="K74" s="2">
        <v>770.64</v>
      </c>
      <c r="L74" s="2">
        <v>16.63</v>
      </c>
      <c r="M74" s="2">
        <v>754.01</v>
      </c>
      <c r="N74" s="2">
        <v>2</v>
      </c>
      <c r="O74" s="8">
        <f t="shared" si="1"/>
        <v>1508.02</v>
      </c>
      <c r="P74" s="1" t="s">
        <v>20</v>
      </c>
      <c r="R74" s="1" t="s">
        <v>85</v>
      </c>
    </row>
    <row r="75" spans="1:18" x14ac:dyDescent="0.25">
      <c r="A75" s="6" t="s">
        <v>83</v>
      </c>
      <c r="B75" s="2">
        <v>718</v>
      </c>
      <c r="C75" s="7">
        <v>43953</v>
      </c>
      <c r="D75" s="2" t="s">
        <v>86</v>
      </c>
      <c r="E75" s="7">
        <v>43892</v>
      </c>
      <c r="F75" s="2">
        <v>0</v>
      </c>
      <c r="G75" s="2">
        <v>0</v>
      </c>
      <c r="H75" s="7">
        <v>43953</v>
      </c>
      <c r="I75" s="7">
        <v>43951</v>
      </c>
      <c r="J75" s="2" t="s">
        <v>19</v>
      </c>
      <c r="K75" s="2">
        <v>179.46</v>
      </c>
      <c r="L75" s="2">
        <v>3.84</v>
      </c>
      <c r="M75" s="2">
        <v>175.62</v>
      </c>
      <c r="N75" s="2">
        <v>2</v>
      </c>
      <c r="O75" s="8">
        <f t="shared" si="1"/>
        <v>351.24</v>
      </c>
      <c r="P75" s="1" t="s">
        <v>20</v>
      </c>
      <c r="R75" s="1" t="s">
        <v>85</v>
      </c>
    </row>
    <row r="76" spans="1:18" x14ac:dyDescent="0.25">
      <c r="A76" s="6" t="s">
        <v>83</v>
      </c>
      <c r="B76" s="2">
        <v>718</v>
      </c>
      <c r="C76" s="7">
        <v>43953</v>
      </c>
      <c r="D76" s="2" t="s">
        <v>87</v>
      </c>
      <c r="E76" s="7">
        <v>43892</v>
      </c>
      <c r="F76" s="2">
        <v>0</v>
      </c>
      <c r="G76" s="2">
        <v>0</v>
      </c>
      <c r="H76" s="7">
        <v>43953</v>
      </c>
      <c r="I76" s="7">
        <v>43951</v>
      </c>
      <c r="J76" s="2" t="s">
        <v>19</v>
      </c>
      <c r="K76" s="2">
        <v>345.58</v>
      </c>
      <c r="L76" s="2">
        <v>7.44</v>
      </c>
      <c r="M76" s="2">
        <v>338.14</v>
      </c>
      <c r="N76" s="2">
        <v>2</v>
      </c>
      <c r="O76" s="8">
        <f t="shared" si="1"/>
        <v>676.28</v>
      </c>
      <c r="P76" s="1" t="s">
        <v>20</v>
      </c>
      <c r="R76" s="1" t="s">
        <v>85</v>
      </c>
    </row>
    <row r="77" spans="1:18" x14ac:dyDescent="0.25">
      <c r="A77" s="6" t="s">
        <v>29</v>
      </c>
      <c r="B77" s="2">
        <v>698</v>
      </c>
      <c r="C77" s="7">
        <v>43953</v>
      </c>
      <c r="D77" s="2" t="s">
        <v>88</v>
      </c>
      <c r="E77" s="7">
        <v>43922</v>
      </c>
      <c r="F77" s="2">
        <v>0</v>
      </c>
      <c r="G77" s="2">
        <v>0</v>
      </c>
      <c r="H77" s="7">
        <v>43953</v>
      </c>
      <c r="I77" s="7">
        <v>43952</v>
      </c>
      <c r="J77" s="2" t="s">
        <v>19</v>
      </c>
      <c r="K77" s="2">
        <v>549.33000000000004</v>
      </c>
      <c r="L77" s="2">
        <v>99.06</v>
      </c>
      <c r="M77" s="2">
        <v>450.27</v>
      </c>
      <c r="N77" s="2">
        <v>1</v>
      </c>
      <c r="O77" s="8">
        <f t="shared" si="1"/>
        <v>450.27</v>
      </c>
      <c r="P77" s="1" t="s">
        <v>20</v>
      </c>
      <c r="R77" s="1" t="s">
        <v>31</v>
      </c>
    </row>
    <row r="78" spans="1:18" x14ac:dyDescent="0.25">
      <c r="A78" s="6" t="s">
        <v>29</v>
      </c>
      <c r="B78" s="2">
        <v>693</v>
      </c>
      <c r="C78" s="7">
        <v>43953</v>
      </c>
      <c r="D78" s="2" t="s">
        <v>89</v>
      </c>
      <c r="E78" s="7">
        <v>43922</v>
      </c>
      <c r="F78" s="2">
        <v>0</v>
      </c>
      <c r="G78" s="2">
        <v>0</v>
      </c>
      <c r="H78" s="7">
        <v>43953</v>
      </c>
      <c r="I78" s="7">
        <v>43952</v>
      </c>
      <c r="J78" s="2" t="s">
        <v>19</v>
      </c>
      <c r="K78" s="2">
        <v>534.15</v>
      </c>
      <c r="L78" s="2">
        <v>96.32</v>
      </c>
      <c r="M78" s="2">
        <v>437.83</v>
      </c>
      <c r="N78" s="2">
        <v>1</v>
      </c>
      <c r="O78" s="8">
        <f t="shared" si="1"/>
        <v>437.83</v>
      </c>
      <c r="P78" s="1" t="s">
        <v>20</v>
      </c>
      <c r="R78" s="1" t="s">
        <v>31</v>
      </c>
    </row>
    <row r="79" spans="1:18" x14ac:dyDescent="0.25">
      <c r="A79" s="6" t="s">
        <v>29</v>
      </c>
      <c r="B79" s="2">
        <v>701</v>
      </c>
      <c r="C79" s="7">
        <v>43953</v>
      </c>
      <c r="D79" s="2" t="s">
        <v>90</v>
      </c>
      <c r="E79" s="7">
        <v>43922</v>
      </c>
      <c r="F79" s="2">
        <v>0</v>
      </c>
      <c r="G79" s="2">
        <v>0</v>
      </c>
      <c r="H79" s="7">
        <v>43953</v>
      </c>
      <c r="I79" s="7">
        <v>43952</v>
      </c>
      <c r="J79" s="2" t="s">
        <v>19</v>
      </c>
      <c r="K79" s="2">
        <v>319.7</v>
      </c>
      <c r="L79" s="2">
        <v>57.65</v>
      </c>
      <c r="M79" s="2">
        <v>262.05</v>
      </c>
      <c r="N79" s="2">
        <v>1</v>
      </c>
      <c r="O79" s="8">
        <f t="shared" si="1"/>
        <v>262.05</v>
      </c>
      <c r="P79" s="1" t="s">
        <v>20</v>
      </c>
      <c r="R79" s="1" t="s">
        <v>31</v>
      </c>
    </row>
    <row r="80" spans="1:18" x14ac:dyDescent="0.25">
      <c r="A80" s="6" t="s">
        <v>29</v>
      </c>
      <c r="B80" s="2">
        <v>699</v>
      </c>
      <c r="C80" s="7">
        <v>43953</v>
      </c>
      <c r="D80" s="2" t="s">
        <v>91</v>
      </c>
      <c r="E80" s="7">
        <v>43922</v>
      </c>
      <c r="F80" s="2">
        <v>0</v>
      </c>
      <c r="G80" s="2">
        <v>0</v>
      </c>
      <c r="H80" s="7">
        <v>43953</v>
      </c>
      <c r="I80" s="7">
        <v>43952</v>
      </c>
      <c r="J80" s="2" t="s">
        <v>19</v>
      </c>
      <c r="K80" s="2">
        <v>247.78</v>
      </c>
      <c r="L80" s="2">
        <v>44.68</v>
      </c>
      <c r="M80" s="2">
        <v>203.1</v>
      </c>
      <c r="N80" s="2">
        <v>1</v>
      </c>
      <c r="O80" s="8">
        <f t="shared" si="1"/>
        <v>203.1</v>
      </c>
      <c r="P80" s="1" t="s">
        <v>20</v>
      </c>
      <c r="R80" s="1" t="s">
        <v>31</v>
      </c>
    </row>
    <row r="81" spans="1:18" x14ac:dyDescent="0.25">
      <c r="A81" s="6" t="s">
        <v>29</v>
      </c>
      <c r="B81" s="2">
        <v>700</v>
      </c>
      <c r="C81" s="7">
        <v>43953</v>
      </c>
      <c r="D81" s="2" t="s">
        <v>92</v>
      </c>
      <c r="E81" s="7">
        <v>43922</v>
      </c>
      <c r="F81" s="2">
        <v>0</v>
      </c>
      <c r="G81" s="2">
        <v>0</v>
      </c>
      <c r="H81" s="7">
        <v>43953</v>
      </c>
      <c r="I81" s="7">
        <v>43952</v>
      </c>
      <c r="J81" s="2" t="s">
        <v>19</v>
      </c>
      <c r="K81" s="2">
        <v>245.38</v>
      </c>
      <c r="L81" s="2">
        <v>44.25</v>
      </c>
      <c r="M81" s="2">
        <v>201.13</v>
      </c>
      <c r="N81" s="2">
        <v>1</v>
      </c>
      <c r="O81" s="8">
        <f t="shared" si="1"/>
        <v>201.13</v>
      </c>
      <c r="P81" s="1" t="s">
        <v>20</v>
      </c>
      <c r="R81" s="1" t="s">
        <v>31</v>
      </c>
    </row>
    <row r="82" spans="1:18" x14ac:dyDescent="0.25">
      <c r="A82" s="6" t="s">
        <v>29</v>
      </c>
      <c r="B82" s="2">
        <v>696</v>
      </c>
      <c r="C82" s="7">
        <v>43953</v>
      </c>
      <c r="D82" s="2" t="s">
        <v>93</v>
      </c>
      <c r="E82" s="7">
        <v>43922</v>
      </c>
      <c r="F82" s="2">
        <v>0</v>
      </c>
      <c r="G82" s="2">
        <v>0</v>
      </c>
      <c r="H82" s="7">
        <v>43953</v>
      </c>
      <c r="I82" s="7">
        <v>43952</v>
      </c>
      <c r="J82" s="2" t="s">
        <v>19</v>
      </c>
      <c r="K82" s="2">
        <v>364.51</v>
      </c>
      <c r="L82" s="2">
        <v>65.73</v>
      </c>
      <c r="M82" s="2">
        <v>298.77999999999997</v>
      </c>
      <c r="N82" s="2">
        <v>1</v>
      </c>
      <c r="O82" s="8">
        <f t="shared" si="1"/>
        <v>298.77999999999997</v>
      </c>
      <c r="P82" s="1" t="s">
        <v>20</v>
      </c>
      <c r="R82" s="1" t="s">
        <v>31</v>
      </c>
    </row>
    <row r="83" spans="1:18" x14ac:dyDescent="0.25">
      <c r="A83" s="6" t="s">
        <v>29</v>
      </c>
      <c r="B83" s="2">
        <v>702</v>
      </c>
      <c r="C83" s="7">
        <v>43953</v>
      </c>
      <c r="D83" s="2" t="s">
        <v>94</v>
      </c>
      <c r="E83" s="7">
        <v>43922</v>
      </c>
      <c r="F83" s="2">
        <v>0</v>
      </c>
      <c r="G83" s="2">
        <v>0</v>
      </c>
      <c r="H83" s="7">
        <v>43953</v>
      </c>
      <c r="I83" s="7">
        <v>43952</v>
      </c>
      <c r="J83" s="2" t="s">
        <v>19</v>
      </c>
      <c r="K83" s="2">
        <v>367.6</v>
      </c>
      <c r="L83" s="2">
        <v>66.290000000000006</v>
      </c>
      <c r="M83" s="2">
        <v>301.31</v>
      </c>
      <c r="N83" s="2">
        <v>1</v>
      </c>
      <c r="O83" s="8">
        <f t="shared" si="1"/>
        <v>301.31</v>
      </c>
      <c r="P83" s="1" t="s">
        <v>20</v>
      </c>
      <c r="R83" s="1" t="s">
        <v>31</v>
      </c>
    </row>
    <row r="84" spans="1:18" x14ac:dyDescent="0.25">
      <c r="A84" s="6" t="s">
        <v>29</v>
      </c>
      <c r="B84" s="2">
        <v>694</v>
      </c>
      <c r="C84" s="7">
        <v>43953</v>
      </c>
      <c r="D84" s="2" t="s">
        <v>95</v>
      </c>
      <c r="E84" s="7">
        <v>43922</v>
      </c>
      <c r="F84" s="2">
        <v>0</v>
      </c>
      <c r="G84" s="2">
        <v>0</v>
      </c>
      <c r="H84" s="7">
        <v>43953</v>
      </c>
      <c r="I84" s="7">
        <v>43952</v>
      </c>
      <c r="J84" s="2" t="s">
        <v>19</v>
      </c>
      <c r="K84" s="2">
        <v>535.96</v>
      </c>
      <c r="L84" s="2">
        <v>96.65</v>
      </c>
      <c r="M84" s="2">
        <v>439.31</v>
      </c>
      <c r="N84" s="2">
        <v>1</v>
      </c>
      <c r="O84" s="8">
        <f t="shared" si="1"/>
        <v>439.31</v>
      </c>
      <c r="P84" s="1" t="s">
        <v>20</v>
      </c>
      <c r="R84" s="1" t="s">
        <v>31</v>
      </c>
    </row>
    <row r="85" spans="1:18" x14ac:dyDescent="0.25">
      <c r="A85" s="6" t="s">
        <v>29</v>
      </c>
      <c r="B85" s="2">
        <v>695</v>
      </c>
      <c r="C85" s="7">
        <v>43953</v>
      </c>
      <c r="D85" s="2" t="s">
        <v>96</v>
      </c>
      <c r="E85" s="7">
        <v>43922</v>
      </c>
      <c r="F85" s="2">
        <v>0</v>
      </c>
      <c r="G85" s="2">
        <v>0</v>
      </c>
      <c r="H85" s="7">
        <v>43953</v>
      </c>
      <c r="I85" s="7">
        <v>43952</v>
      </c>
      <c r="J85" s="2" t="s">
        <v>19</v>
      </c>
      <c r="K85" s="9">
        <v>3038.54</v>
      </c>
      <c r="L85" s="2">
        <v>547.92999999999995</v>
      </c>
      <c r="M85" s="9">
        <v>2490.61</v>
      </c>
      <c r="N85" s="2">
        <v>1</v>
      </c>
      <c r="O85" s="8">
        <f t="shared" si="1"/>
        <v>2490.61</v>
      </c>
      <c r="P85" s="1" t="s">
        <v>20</v>
      </c>
      <c r="R85" s="1" t="s">
        <v>31</v>
      </c>
    </row>
    <row r="86" spans="1:18" x14ac:dyDescent="0.25">
      <c r="A86" s="6" t="s">
        <v>29</v>
      </c>
      <c r="B86" s="2">
        <v>697</v>
      </c>
      <c r="C86" s="7">
        <v>43953</v>
      </c>
      <c r="D86" s="2" t="s">
        <v>97</v>
      </c>
      <c r="E86" s="7">
        <v>43922</v>
      </c>
      <c r="F86" s="2">
        <v>0</v>
      </c>
      <c r="G86" s="2">
        <v>0</v>
      </c>
      <c r="H86" s="7">
        <v>43953</v>
      </c>
      <c r="I86" s="7">
        <v>43952</v>
      </c>
      <c r="J86" s="2" t="s">
        <v>19</v>
      </c>
      <c r="K86" s="2">
        <v>257.24</v>
      </c>
      <c r="L86" s="2">
        <v>46.39</v>
      </c>
      <c r="M86" s="2">
        <v>210.85</v>
      </c>
      <c r="N86" s="2">
        <v>1</v>
      </c>
      <c r="O86" s="8">
        <f t="shared" si="1"/>
        <v>210.85</v>
      </c>
      <c r="P86" s="1" t="s">
        <v>20</v>
      </c>
      <c r="R86" s="1" t="s">
        <v>31</v>
      </c>
    </row>
    <row r="87" spans="1:18" ht="36" x14ac:dyDescent="0.25">
      <c r="A87" s="6" t="s">
        <v>27</v>
      </c>
      <c r="B87" s="2">
        <v>575</v>
      </c>
      <c r="C87" s="7">
        <v>43939</v>
      </c>
      <c r="D87" s="2" t="str">
        <f>"3020192199"</f>
        <v>3020192199</v>
      </c>
      <c r="E87" s="7">
        <v>43908</v>
      </c>
      <c r="F87" s="2">
        <v>0</v>
      </c>
      <c r="G87" s="2">
        <v>0</v>
      </c>
      <c r="H87" s="7">
        <v>43939</v>
      </c>
      <c r="I87" s="7">
        <v>43938</v>
      </c>
      <c r="J87" s="2" t="s">
        <v>19</v>
      </c>
      <c r="K87" s="2">
        <v>2.86</v>
      </c>
      <c r="L87" s="2">
        <v>2.86</v>
      </c>
      <c r="M87" s="2">
        <v>0</v>
      </c>
      <c r="N87" s="2">
        <v>1</v>
      </c>
      <c r="O87" s="8">
        <f t="shared" si="1"/>
        <v>0</v>
      </c>
      <c r="P87" s="1" t="s">
        <v>20</v>
      </c>
      <c r="R87" s="1" t="s">
        <v>28</v>
      </c>
    </row>
    <row r="88" spans="1:18" x14ac:dyDescent="0.25">
      <c r="A88" s="6" t="s">
        <v>23</v>
      </c>
      <c r="B88" s="2">
        <v>1086</v>
      </c>
      <c r="C88" s="7">
        <v>44009</v>
      </c>
      <c r="D88" s="2" t="str">
        <f>"42002027769"</f>
        <v>42002027769</v>
      </c>
      <c r="E88" s="7">
        <v>43973</v>
      </c>
      <c r="F88" s="2">
        <v>0</v>
      </c>
      <c r="G88" s="2">
        <v>0</v>
      </c>
      <c r="H88" s="7">
        <v>44009</v>
      </c>
      <c r="I88" s="7">
        <v>44008</v>
      </c>
      <c r="J88" s="2" t="s">
        <v>19</v>
      </c>
      <c r="K88" s="2">
        <v>47.74</v>
      </c>
      <c r="L88" s="2">
        <v>8.61</v>
      </c>
      <c r="M88" s="2">
        <v>39.130000000000003</v>
      </c>
      <c r="N88" s="2">
        <v>1</v>
      </c>
      <c r="O88" s="8">
        <f t="shared" si="1"/>
        <v>39.130000000000003</v>
      </c>
      <c r="P88" s="1" t="s">
        <v>20</v>
      </c>
      <c r="R88" s="1" t="s">
        <v>24</v>
      </c>
    </row>
    <row r="89" spans="1:18" x14ac:dyDescent="0.25">
      <c r="A89" s="6" t="s">
        <v>29</v>
      </c>
      <c r="B89" s="2">
        <v>876</v>
      </c>
      <c r="C89" s="7">
        <v>43973</v>
      </c>
      <c r="D89" s="2" t="s">
        <v>98</v>
      </c>
      <c r="E89" s="7">
        <v>43864</v>
      </c>
      <c r="F89" s="2">
        <v>0</v>
      </c>
      <c r="G89" s="2">
        <v>0</v>
      </c>
      <c r="H89" s="7">
        <v>43973</v>
      </c>
      <c r="I89" s="7">
        <v>43973</v>
      </c>
      <c r="J89" s="2" t="s">
        <v>19</v>
      </c>
      <c r="K89" s="2">
        <v>389.04</v>
      </c>
      <c r="L89" s="2">
        <v>70.11</v>
      </c>
      <c r="M89" s="2">
        <v>318.93</v>
      </c>
      <c r="N89" s="2">
        <v>0</v>
      </c>
      <c r="O89" s="8">
        <f t="shared" si="1"/>
        <v>0</v>
      </c>
      <c r="P89" s="1" t="s">
        <v>20</v>
      </c>
      <c r="R89" s="1" t="s">
        <v>31</v>
      </c>
    </row>
    <row r="90" spans="1:18" x14ac:dyDescent="0.25">
      <c r="A90" s="6" t="s">
        <v>29</v>
      </c>
      <c r="B90" s="2">
        <v>880</v>
      </c>
      <c r="C90" s="7">
        <v>43973</v>
      </c>
      <c r="D90" s="2" t="s">
        <v>99</v>
      </c>
      <c r="E90" s="7">
        <v>43864</v>
      </c>
      <c r="F90" s="2">
        <v>0</v>
      </c>
      <c r="G90" s="2">
        <v>0</v>
      </c>
      <c r="H90" s="7">
        <v>43973</v>
      </c>
      <c r="I90" s="7">
        <v>43973</v>
      </c>
      <c r="J90" s="2" t="s">
        <v>19</v>
      </c>
      <c r="K90" s="9">
        <v>4131.7700000000004</v>
      </c>
      <c r="L90" s="2">
        <v>741.57</v>
      </c>
      <c r="M90" s="9">
        <v>3390.2</v>
      </c>
      <c r="N90" s="2">
        <v>0</v>
      </c>
      <c r="O90" s="8">
        <f t="shared" si="1"/>
        <v>0</v>
      </c>
      <c r="P90" s="1" t="s">
        <v>20</v>
      </c>
      <c r="R90" s="1" t="s">
        <v>31</v>
      </c>
    </row>
    <row r="91" spans="1:18" x14ac:dyDescent="0.25">
      <c r="A91" s="6" t="s">
        <v>29</v>
      </c>
      <c r="B91" s="2">
        <v>877</v>
      </c>
      <c r="C91" s="7">
        <v>43973</v>
      </c>
      <c r="D91" s="2" t="s">
        <v>100</v>
      </c>
      <c r="E91" s="7">
        <v>43864</v>
      </c>
      <c r="F91" s="2">
        <v>0</v>
      </c>
      <c r="G91" s="2">
        <v>0</v>
      </c>
      <c r="H91" s="7">
        <v>43973</v>
      </c>
      <c r="I91" s="7">
        <v>43973</v>
      </c>
      <c r="J91" s="2" t="s">
        <v>19</v>
      </c>
      <c r="K91" s="9">
        <v>1084.6199999999999</v>
      </c>
      <c r="L91" s="2">
        <v>194.91</v>
      </c>
      <c r="M91" s="2">
        <v>889.71</v>
      </c>
      <c r="N91" s="2">
        <v>0</v>
      </c>
      <c r="O91" s="8">
        <f t="shared" si="1"/>
        <v>0</v>
      </c>
      <c r="P91" s="1" t="s">
        <v>20</v>
      </c>
      <c r="R91" s="1" t="s">
        <v>31</v>
      </c>
    </row>
    <row r="92" spans="1:18" x14ac:dyDescent="0.25">
      <c r="A92" s="6" t="s">
        <v>29</v>
      </c>
      <c r="B92" s="2">
        <v>878</v>
      </c>
      <c r="C92" s="7">
        <v>43973</v>
      </c>
      <c r="D92" s="2" t="s">
        <v>101</v>
      </c>
      <c r="E92" s="7">
        <v>43864</v>
      </c>
      <c r="F92" s="2">
        <v>0</v>
      </c>
      <c r="G92" s="2">
        <v>0</v>
      </c>
      <c r="H92" s="7">
        <v>43973</v>
      </c>
      <c r="I92" s="7">
        <v>43973</v>
      </c>
      <c r="J92" s="2" t="s">
        <v>19</v>
      </c>
      <c r="K92" s="2">
        <v>203.58</v>
      </c>
      <c r="L92" s="2">
        <v>36.71</v>
      </c>
      <c r="M92" s="2">
        <v>166.87</v>
      </c>
      <c r="N92" s="2">
        <v>0</v>
      </c>
      <c r="O92" s="8">
        <f t="shared" si="1"/>
        <v>0</v>
      </c>
      <c r="P92" s="1" t="s">
        <v>20</v>
      </c>
      <c r="R92" s="1" t="s">
        <v>31</v>
      </c>
    </row>
    <row r="93" spans="1:18" x14ac:dyDescent="0.25">
      <c r="A93" s="6" t="s">
        <v>29</v>
      </c>
      <c r="B93" s="2">
        <v>879</v>
      </c>
      <c r="C93" s="7">
        <v>43973</v>
      </c>
      <c r="D93" s="2" t="s">
        <v>102</v>
      </c>
      <c r="E93" s="7">
        <v>43864</v>
      </c>
      <c r="F93" s="2">
        <v>0</v>
      </c>
      <c r="G93" s="2">
        <v>0</v>
      </c>
      <c r="H93" s="7">
        <v>43973</v>
      </c>
      <c r="I93" s="7">
        <v>43973</v>
      </c>
      <c r="J93" s="2" t="s">
        <v>19</v>
      </c>
      <c r="K93" s="2">
        <v>449.24</v>
      </c>
      <c r="L93" s="2">
        <v>81.010000000000005</v>
      </c>
      <c r="M93" s="2">
        <v>368.23</v>
      </c>
      <c r="N93" s="2">
        <v>0</v>
      </c>
      <c r="O93" s="8">
        <f t="shared" si="1"/>
        <v>0</v>
      </c>
      <c r="P93" s="1" t="s">
        <v>20</v>
      </c>
      <c r="R93" s="1" t="s">
        <v>31</v>
      </c>
    </row>
    <row r="94" spans="1:18" x14ac:dyDescent="0.25">
      <c r="A94" s="6" t="s">
        <v>29</v>
      </c>
      <c r="B94" s="2">
        <v>875</v>
      </c>
      <c r="C94" s="7">
        <v>43973</v>
      </c>
      <c r="D94" s="2" t="s">
        <v>103</v>
      </c>
      <c r="E94" s="7">
        <v>43864</v>
      </c>
      <c r="F94" s="2">
        <v>0</v>
      </c>
      <c r="G94" s="2">
        <v>0</v>
      </c>
      <c r="H94" s="7">
        <v>43973</v>
      </c>
      <c r="I94" s="7">
        <v>43973</v>
      </c>
      <c r="J94" s="2" t="s">
        <v>19</v>
      </c>
      <c r="K94" s="2">
        <v>343.24</v>
      </c>
      <c r="L94" s="2">
        <v>61.58</v>
      </c>
      <c r="M94" s="2">
        <v>281.66000000000003</v>
      </c>
      <c r="N94" s="2">
        <v>0</v>
      </c>
      <c r="O94" s="8">
        <f t="shared" si="1"/>
        <v>0</v>
      </c>
      <c r="P94" s="1" t="s">
        <v>20</v>
      </c>
      <c r="R94" s="1" t="s">
        <v>31</v>
      </c>
    </row>
    <row r="95" spans="1:18" x14ac:dyDescent="0.25">
      <c r="A95" s="6" t="s">
        <v>29</v>
      </c>
      <c r="B95" s="2">
        <v>881</v>
      </c>
      <c r="C95" s="7">
        <v>43973</v>
      </c>
      <c r="D95" s="2" t="s">
        <v>104</v>
      </c>
      <c r="E95" s="7">
        <v>43864</v>
      </c>
      <c r="F95" s="2">
        <v>0</v>
      </c>
      <c r="G95" s="2">
        <v>0</v>
      </c>
      <c r="H95" s="7">
        <v>43973</v>
      </c>
      <c r="I95" s="7">
        <v>43973</v>
      </c>
      <c r="J95" s="2" t="s">
        <v>19</v>
      </c>
      <c r="K95" s="2">
        <v>497.56</v>
      </c>
      <c r="L95" s="2">
        <v>89.23</v>
      </c>
      <c r="M95" s="2">
        <v>408.33</v>
      </c>
      <c r="N95" s="2">
        <v>0</v>
      </c>
      <c r="O95" s="8">
        <f t="shared" si="1"/>
        <v>0</v>
      </c>
      <c r="P95" s="1" t="s">
        <v>20</v>
      </c>
      <c r="R95" s="1" t="s">
        <v>31</v>
      </c>
    </row>
    <row r="96" spans="1:18" x14ac:dyDescent="0.25">
      <c r="A96" s="6" t="s">
        <v>23</v>
      </c>
      <c r="B96" s="2">
        <v>582</v>
      </c>
      <c r="C96" s="7">
        <v>43939</v>
      </c>
      <c r="D96" s="2" t="str">
        <f>"42001115278"</f>
        <v>42001115278</v>
      </c>
      <c r="E96" s="7">
        <v>43910</v>
      </c>
      <c r="F96" s="2">
        <v>0</v>
      </c>
      <c r="G96" s="2">
        <v>0</v>
      </c>
      <c r="H96" s="7">
        <v>43939</v>
      </c>
      <c r="I96" s="7">
        <v>43940</v>
      </c>
      <c r="J96" s="2" t="s">
        <v>19</v>
      </c>
      <c r="K96" s="2">
        <v>191.03</v>
      </c>
      <c r="L96" s="2">
        <v>21.64</v>
      </c>
      <c r="M96" s="2">
        <v>169.39</v>
      </c>
      <c r="N96" s="2">
        <v>-1</v>
      </c>
      <c r="O96" s="8">
        <f t="shared" si="1"/>
        <v>-169.39</v>
      </c>
      <c r="P96" s="1" t="s">
        <v>20</v>
      </c>
      <c r="R96" s="1" t="s">
        <v>24</v>
      </c>
    </row>
    <row r="97" spans="1:18" x14ac:dyDescent="0.25">
      <c r="A97" s="6" t="s">
        <v>42</v>
      </c>
      <c r="B97" s="2">
        <v>959</v>
      </c>
      <c r="C97" s="7">
        <v>43988</v>
      </c>
      <c r="D97" s="2" t="str">
        <f>"0350120200800268800"</f>
        <v>0350120200800268800</v>
      </c>
      <c r="E97" s="7">
        <v>43931</v>
      </c>
      <c r="F97" s="2">
        <v>0</v>
      </c>
      <c r="G97" s="2">
        <v>0</v>
      </c>
      <c r="H97" s="7">
        <v>43988</v>
      </c>
      <c r="I97" s="7">
        <v>43992</v>
      </c>
      <c r="J97" s="2" t="s">
        <v>19</v>
      </c>
      <c r="K97" s="2">
        <v>63.8</v>
      </c>
      <c r="L97" s="2">
        <v>5.8</v>
      </c>
      <c r="M97" s="2">
        <v>58</v>
      </c>
      <c r="N97" s="2">
        <v>-4</v>
      </c>
      <c r="O97" s="8">
        <f t="shared" si="1"/>
        <v>-232</v>
      </c>
      <c r="P97" s="1" t="s">
        <v>20</v>
      </c>
      <c r="R97" s="1" t="s">
        <v>43</v>
      </c>
    </row>
    <row r="98" spans="1:18" x14ac:dyDescent="0.25">
      <c r="A98" s="6" t="s">
        <v>42</v>
      </c>
      <c r="B98" s="2">
        <v>958</v>
      </c>
      <c r="C98" s="7">
        <v>43988</v>
      </c>
      <c r="D98" s="2" t="str">
        <f>"0350120200800266600"</f>
        <v>0350120200800266600</v>
      </c>
      <c r="E98" s="7">
        <v>43931</v>
      </c>
      <c r="F98" s="2">
        <v>0</v>
      </c>
      <c r="G98" s="2">
        <v>0</v>
      </c>
      <c r="H98" s="7">
        <v>43988</v>
      </c>
      <c r="I98" s="7">
        <v>43992</v>
      </c>
      <c r="J98" s="2" t="s">
        <v>19</v>
      </c>
      <c r="K98" s="2">
        <v>63.56</v>
      </c>
      <c r="L98" s="2">
        <v>5.78</v>
      </c>
      <c r="M98" s="2">
        <v>57.78</v>
      </c>
      <c r="N98" s="2">
        <v>-4</v>
      </c>
      <c r="O98" s="8">
        <f t="shared" si="1"/>
        <v>-231.12</v>
      </c>
      <c r="P98" s="1" t="s">
        <v>20</v>
      </c>
      <c r="R98" s="1" t="s">
        <v>43</v>
      </c>
    </row>
    <row r="99" spans="1:18" x14ac:dyDescent="0.25">
      <c r="A99" s="6" t="s">
        <v>42</v>
      </c>
      <c r="B99" s="2">
        <v>956</v>
      </c>
      <c r="C99" s="7">
        <v>43988</v>
      </c>
      <c r="D99" s="2" t="str">
        <f>"0350120200800267200"</f>
        <v>0350120200800267200</v>
      </c>
      <c r="E99" s="7">
        <v>43931</v>
      </c>
      <c r="F99" s="2">
        <v>0</v>
      </c>
      <c r="G99" s="2">
        <v>0</v>
      </c>
      <c r="H99" s="7">
        <v>43988</v>
      </c>
      <c r="I99" s="7">
        <v>43992</v>
      </c>
      <c r="J99" s="2" t="s">
        <v>19</v>
      </c>
      <c r="K99" s="2">
        <v>85.53</v>
      </c>
      <c r="L99" s="2">
        <v>7.78</v>
      </c>
      <c r="M99" s="2">
        <v>77.75</v>
      </c>
      <c r="N99" s="2">
        <v>-4</v>
      </c>
      <c r="O99" s="8">
        <f t="shared" si="1"/>
        <v>-311</v>
      </c>
      <c r="P99" s="1" t="s">
        <v>20</v>
      </c>
      <c r="R99" s="1" t="s">
        <v>43</v>
      </c>
    </row>
    <row r="100" spans="1:18" x14ac:dyDescent="0.25">
      <c r="A100" s="6" t="s">
        <v>105</v>
      </c>
      <c r="B100" s="2">
        <v>1069</v>
      </c>
      <c r="C100" s="7">
        <v>44002</v>
      </c>
      <c r="D100" s="2" t="str">
        <f>"62"</f>
        <v>62</v>
      </c>
      <c r="E100" s="7">
        <v>43976</v>
      </c>
      <c r="F100" s="2">
        <v>0</v>
      </c>
      <c r="G100" s="2">
        <v>0</v>
      </c>
      <c r="H100" s="7">
        <v>44002</v>
      </c>
      <c r="I100" s="7">
        <v>44007</v>
      </c>
      <c r="J100" s="2" t="s">
        <v>19</v>
      </c>
      <c r="K100" s="9">
        <v>1181.2</v>
      </c>
      <c r="L100" s="2">
        <v>213</v>
      </c>
      <c r="M100" s="2">
        <v>968.2</v>
      </c>
      <c r="N100" s="2">
        <v>-5</v>
      </c>
      <c r="O100" s="8">
        <f t="shared" si="1"/>
        <v>-4841</v>
      </c>
      <c r="P100" s="1" t="s">
        <v>20</v>
      </c>
      <c r="R100" s="1" t="s">
        <v>85</v>
      </c>
    </row>
    <row r="101" spans="1:18" x14ac:dyDescent="0.25">
      <c r="A101" s="6" t="s">
        <v>44</v>
      </c>
      <c r="B101" s="2">
        <v>691</v>
      </c>
      <c r="C101" s="7">
        <v>43953</v>
      </c>
      <c r="D101" s="2" t="str">
        <f>"20053"</f>
        <v>20053</v>
      </c>
      <c r="E101" s="7">
        <v>43899</v>
      </c>
      <c r="F101" s="2">
        <v>0</v>
      </c>
      <c r="G101" s="2">
        <v>0</v>
      </c>
      <c r="H101" s="7">
        <v>43953</v>
      </c>
      <c r="I101" s="7">
        <v>43959</v>
      </c>
      <c r="J101" s="2" t="s">
        <v>19</v>
      </c>
      <c r="K101" s="2">
        <v>538.15</v>
      </c>
      <c r="L101" s="2">
        <v>97.04</v>
      </c>
      <c r="M101" s="2">
        <v>441.11</v>
      </c>
      <c r="N101" s="2">
        <v>-6</v>
      </c>
      <c r="O101" s="8">
        <f t="shared" si="1"/>
        <v>-2646.66</v>
      </c>
      <c r="P101" s="1" t="s">
        <v>20</v>
      </c>
      <c r="R101" s="1" t="s">
        <v>45</v>
      </c>
    </row>
    <row r="102" spans="1:18" x14ac:dyDescent="0.25">
      <c r="A102" s="6" t="s">
        <v>106</v>
      </c>
      <c r="B102" s="2">
        <v>686</v>
      </c>
      <c r="C102" s="7">
        <v>43945</v>
      </c>
      <c r="D102" s="2" t="str">
        <f>"0001119375"</f>
        <v>0001119375</v>
      </c>
      <c r="E102" s="7">
        <v>43921</v>
      </c>
      <c r="F102" s="2">
        <v>0</v>
      </c>
      <c r="G102" s="2">
        <v>0</v>
      </c>
      <c r="H102" s="7">
        <v>43945</v>
      </c>
      <c r="I102" s="7">
        <v>43951</v>
      </c>
      <c r="J102" s="2" t="s">
        <v>19</v>
      </c>
      <c r="K102" s="9">
        <v>1092.5</v>
      </c>
      <c r="L102" s="2">
        <v>0</v>
      </c>
      <c r="M102" s="9">
        <v>1092.5</v>
      </c>
      <c r="N102" s="2">
        <v>-6</v>
      </c>
      <c r="O102" s="8">
        <f t="shared" si="1"/>
        <v>-6555</v>
      </c>
      <c r="P102" s="1" t="s">
        <v>20</v>
      </c>
      <c r="R102" s="1" t="s">
        <v>107</v>
      </c>
    </row>
    <row r="103" spans="1:18" x14ac:dyDescent="0.25">
      <c r="A103" s="6" t="s">
        <v>108</v>
      </c>
      <c r="B103" s="2">
        <v>732</v>
      </c>
      <c r="C103" s="7">
        <v>43967</v>
      </c>
      <c r="D103" s="2" t="s">
        <v>109</v>
      </c>
      <c r="E103" s="7">
        <v>43942</v>
      </c>
      <c r="F103" s="2">
        <v>0</v>
      </c>
      <c r="G103" s="2">
        <v>0</v>
      </c>
      <c r="H103" s="7">
        <v>43967</v>
      </c>
      <c r="I103" s="7">
        <v>43973</v>
      </c>
      <c r="J103" s="2" t="s">
        <v>19</v>
      </c>
      <c r="K103" s="2">
        <v>189.71</v>
      </c>
      <c r="L103" s="2">
        <v>34.21</v>
      </c>
      <c r="M103" s="2">
        <v>155.5</v>
      </c>
      <c r="N103" s="2">
        <v>-6</v>
      </c>
      <c r="O103" s="8">
        <f t="shared" si="1"/>
        <v>-933</v>
      </c>
      <c r="P103" s="1" t="s">
        <v>20</v>
      </c>
      <c r="R103" s="1" t="s">
        <v>110</v>
      </c>
    </row>
    <row r="104" spans="1:18" x14ac:dyDescent="0.25">
      <c r="A104" s="6" t="s">
        <v>111</v>
      </c>
      <c r="B104" s="2">
        <v>689</v>
      </c>
      <c r="C104" s="7">
        <v>43953</v>
      </c>
      <c r="D104" s="2" t="s">
        <v>112</v>
      </c>
      <c r="E104" s="7">
        <v>43930</v>
      </c>
      <c r="F104" s="2">
        <v>0</v>
      </c>
      <c r="G104" s="2">
        <v>0</v>
      </c>
      <c r="H104" s="7">
        <v>43953</v>
      </c>
      <c r="I104" s="7">
        <v>43960</v>
      </c>
      <c r="J104" s="2" t="s">
        <v>19</v>
      </c>
      <c r="K104" s="2">
        <v>157.94</v>
      </c>
      <c r="L104" s="2">
        <v>23.57</v>
      </c>
      <c r="M104" s="2">
        <v>134.37</v>
      </c>
      <c r="N104" s="2">
        <v>-7</v>
      </c>
      <c r="O104" s="8">
        <f t="shared" si="1"/>
        <v>-940.59</v>
      </c>
      <c r="P104" s="1" t="s">
        <v>20</v>
      </c>
      <c r="R104" s="1" t="s">
        <v>22</v>
      </c>
    </row>
    <row r="105" spans="1:18" x14ac:dyDescent="0.25">
      <c r="A105" s="6" t="s">
        <v>111</v>
      </c>
      <c r="B105" s="2">
        <v>1081</v>
      </c>
      <c r="C105" s="7">
        <v>44009</v>
      </c>
      <c r="D105" s="2" t="s">
        <v>113</v>
      </c>
      <c r="E105" s="7">
        <v>43986</v>
      </c>
      <c r="F105" s="2">
        <v>0</v>
      </c>
      <c r="G105" s="2">
        <v>0</v>
      </c>
      <c r="H105" s="7">
        <v>44009</v>
      </c>
      <c r="I105" s="7">
        <v>44017</v>
      </c>
      <c r="J105" s="2" t="s">
        <v>19</v>
      </c>
      <c r="K105" s="2">
        <v>12.33</v>
      </c>
      <c r="L105" s="2">
        <v>2.2200000000000002</v>
      </c>
      <c r="M105" s="2">
        <v>10.11</v>
      </c>
      <c r="N105" s="2">
        <v>-8</v>
      </c>
      <c r="O105" s="8">
        <f t="shared" si="1"/>
        <v>-80.88</v>
      </c>
      <c r="P105" s="1" t="s">
        <v>20</v>
      </c>
      <c r="R105" s="1" t="s">
        <v>22</v>
      </c>
    </row>
    <row r="106" spans="1:18" x14ac:dyDescent="0.25">
      <c r="A106" s="6" t="s">
        <v>114</v>
      </c>
      <c r="B106" s="2">
        <v>687</v>
      </c>
      <c r="C106" s="7">
        <v>43945</v>
      </c>
      <c r="D106" s="2" t="s">
        <v>115</v>
      </c>
      <c r="E106" s="7">
        <v>43894</v>
      </c>
      <c r="F106" s="2">
        <v>0</v>
      </c>
      <c r="G106" s="2">
        <v>0</v>
      </c>
      <c r="H106" s="7">
        <v>43945</v>
      </c>
      <c r="I106" s="7">
        <v>43955</v>
      </c>
      <c r="J106" s="2" t="s">
        <v>19</v>
      </c>
      <c r="K106" s="9">
        <v>2015</v>
      </c>
      <c r="L106" s="2">
        <v>363.36</v>
      </c>
      <c r="M106" s="9">
        <v>1651.64</v>
      </c>
      <c r="N106" s="2">
        <v>-10</v>
      </c>
      <c r="O106" s="8">
        <f t="shared" si="1"/>
        <v>-16516.400000000001</v>
      </c>
      <c r="P106" s="1" t="s">
        <v>20</v>
      </c>
      <c r="R106" s="1" t="s">
        <v>116</v>
      </c>
    </row>
    <row r="107" spans="1:18" x14ac:dyDescent="0.25">
      <c r="A107" s="6" t="s">
        <v>44</v>
      </c>
      <c r="B107" s="2">
        <v>726</v>
      </c>
      <c r="C107" s="7">
        <v>43960</v>
      </c>
      <c r="D107" s="2" t="str">
        <f>"20082"</f>
        <v>20082</v>
      </c>
      <c r="E107" s="7">
        <v>43941</v>
      </c>
      <c r="F107" s="2">
        <v>0</v>
      </c>
      <c r="G107" s="2">
        <v>0</v>
      </c>
      <c r="H107" s="7">
        <v>43960</v>
      </c>
      <c r="I107" s="7">
        <v>43971</v>
      </c>
      <c r="J107" s="2" t="s">
        <v>19</v>
      </c>
      <c r="K107" s="9">
        <v>1756.07</v>
      </c>
      <c r="L107" s="2">
        <v>316.67</v>
      </c>
      <c r="M107" s="9">
        <v>1439.4</v>
      </c>
      <c r="N107" s="2">
        <v>-11</v>
      </c>
      <c r="O107" s="8">
        <f t="shared" si="1"/>
        <v>-15833.400000000001</v>
      </c>
      <c r="P107" s="1" t="s">
        <v>20</v>
      </c>
      <c r="R107" s="1" t="s">
        <v>45</v>
      </c>
    </row>
    <row r="108" spans="1:18" x14ac:dyDescent="0.25">
      <c r="A108" s="6" t="s">
        <v>29</v>
      </c>
      <c r="B108" s="2">
        <v>893</v>
      </c>
      <c r="C108" s="7">
        <v>43973</v>
      </c>
      <c r="D108" s="2" t="s">
        <v>117</v>
      </c>
      <c r="E108" s="7">
        <v>43953</v>
      </c>
      <c r="F108" s="2">
        <v>0</v>
      </c>
      <c r="G108" s="2">
        <v>0</v>
      </c>
      <c r="H108" s="7">
        <v>43973</v>
      </c>
      <c r="I108" s="7">
        <v>43985</v>
      </c>
      <c r="J108" s="2" t="s">
        <v>19</v>
      </c>
      <c r="K108" s="2">
        <v>51.91</v>
      </c>
      <c r="L108" s="2">
        <v>9.36</v>
      </c>
      <c r="M108" s="2">
        <v>42.55</v>
      </c>
      <c r="N108" s="2">
        <v>-12</v>
      </c>
      <c r="O108" s="8">
        <f t="shared" si="1"/>
        <v>-510.59999999999997</v>
      </c>
      <c r="P108" s="1" t="s">
        <v>20</v>
      </c>
      <c r="R108" s="1" t="s">
        <v>31</v>
      </c>
    </row>
    <row r="109" spans="1:18" x14ac:dyDescent="0.25">
      <c r="A109" s="6" t="s">
        <v>29</v>
      </c>
      <c r="B109" s="2">
        <v>891</v>
      </c>
      <c r="C109" s="7">
        <v>43973</v>
      </c>
      <c r="D109" s="2" t="s">
        <v>118</v>
      </c>
      <c r="E109" s="7">
        <v>43953</v>
      </c>
      <c r="F109" s="2">
        <v>0</v>
      </c>
      <c r="G109" s="2">
        <v>0</v>
      </c>
      <c r="H109" s="7">
        <v>43973</v>
      </c>
      <c r="I109" s="7">
        <v>43985</v>
      </c>
      <c r="J109" s="2" t="s">
        <v>19</v>
      </c>
      <c r="K109" s="2">
        <v>129.55000000000001</v>
      </c>
      <c r="L109" s="2">
        <v>23.36</v>
      </c>
      <c r="M109" s="2">
        <v>106.19</v>
      </c>
      <c r="N109" s="2">
        <v>-12</v>
      </c>
      <c r="O109" s="8">
        <f t="shared" si="1"/>
        <v>-1274.28</v>
      </c>
      <c r="P109" s="1" t="s">
        <v>20</v>
      </c>
      <c r="R109" s="1" t="s">
        <v>31</v>
      </c>
    </row>
    <row r="110" spans="1:18" x14ac:dyDescent="0.25">
      <c r="A110" s="6" t="s">
        <v>29</v>
      </c>
      <c r="B110" s="2">
        <v>892</v>
      </c>
      <c r="C110" s="7">
        <v>43973</v>
      </c>
      <c r="D110" s="2" t="s">
        <v>119</v>
      </c>
      <c r="E110" s="7">
        <v>43953</v>
      </c>
      <c r="F110" s="2">
        <v>0</v>
      </c>
      <c r="G110" s="2">
        <v>0</v>
      </c>
      <c r="H110" s="7">
        <v>43973</v>
      </c>
      <c r="I110" s="7">
        <v>43985</v>
      </c>
      <c r="J110" s="2" t="s">
        <v>19</v>
      </c>
      <c r="K110" s="2">
        <v>273.55</v>
      </c>
      <c r="L110" s="2">
        <v>49.33</v>
      </c>
      <c r="M110" s="2">
        <v>224.22</v>
      </c>
      <c r="N110" s="2">
        <v>-12</v>
      </c>
      <c r="O110" s="8">
        <f t="shared" si="1"/>
        <v>-2690.64</v>
      </c>
      <c r="P110" s="1" t="s">
        <v>20</v>
      </c>
      <c r="R110" s="1" t="s">
        <v>31</v>
      </c>
    </row>
    <row r="111" spans="1:18" x14ac:dyDescent="0.25">
      <c r="A111" s="6" t="s">
        <v>29</v>
      </c>
      <c r="B111" s="2">
        <v>890</v>
      </c>
      <c r="C111" s="7">
        <v>43973</v>
      </c>
      <c r="D111" s="2" t="s">
        <v>120</v>
      </c>
      <c r="E111" s="7">
        <v>43953</v>
      </c>
      <c r="F111" s="2">
        <v>0</v>
      </c>
      <c r="G111" s="2">
        <v>0</v>
      </c>
      <c r="H111" s="7">
        <v>43973</v>
      </c>
      <c r="I111" s="7">
        <v>43985</v>
      </c>
      <c r="J111" s="2" t="s">
        <v>19</v>
      </c>
      <c r="K111" s="2">
        <v>409.81</v>
      </c>
      <c r="L111" s="2">
        <v>73.900000000000006</v>
      </c>
      <c r="M111" s="2">
        <v>335.91</v>
      </c>
      <c r="N111" s="2">
        <v>-12</v>
      </c>
      <c r="O111" s="8">
        <f t="shared" si="1"/>
        <v>-4030.92</v>
      </c>
      <c r="P111" s="1" t="s">
        <v>20</v>
      </c>
      <c r="R111" s="1" t="s">
        <v>31</v>
      </c>
    </row>
    <row r="112" spans="1:18" x14ac:dyDescent="0.25">
      <c r="A112" s="6" t="s">
        <v>44</v>
      </c>
      <c r="B112" s="2">
        <v>1084</v>
      </c>
      <c r="C112" s="7">
        <v>44009</v>
      </c>
      <c r="D112" s="2" t="str">
        <f>"20113"</f>
        <v>20113</v>
      </c>
      <c r="E112" s="7">
        <v>43993</v>
      </c>
      <c r="F112" s="2">
        <v>0</v>
      </c>
      <c r="G112" s="2">
        <v>0</v>
      </c>
      <c r="H112" s="7">
        <v>44009</v>
      </c>
      <c r="I112" s="7">
        <v>44023</v>
      </c>
      <c r="J112" s="2" t="s">
        <v>19</v>
      </c>
      <c r="K112" s="9">
        <v>1026.73</v>
      </c>
      <c r="L112" s="2">
        <v>185.15</v>
      </c>
      <c r="M112" s="2">
        <v>841.58</v>
      </c>
      <c r="N112" s="2">
        <v>-14</v>
      </c>
      <c r="O112" s="8">
        <f t="shared" si="1"/>
        <v>-11782.12</v>
      </c>
      <c r="P112" s="1" t="s">
        <v>20</v>
      </c>
      <c r="R112" s="1" t="s">
        <v>45</v>
      </c>
    </row>
    <row r="113" spans="1:18" x14ac:dyDescent="0.25">
      <c r="A113" s="6" t="s">
        <v>44</v>
      </c>
      <c r="B113" s="2">
        <v>1082</v>
      </c>
      <c r="C113" s="7">
        <v>44009</v>
      </c>
      <c r="D113" s="2" t="str">
        <f>"20115"</f>
        <v>20115</v>
      </c>
      <c r="E113" s="7">
        <v>43993</v>
      </c>
      <c r="F113" s="2">
        <v>0</v>
      </c>
      <c r="G113" s="2">
        <v>0</v>
      </c>
      <c r="H113" s="7">
        <v>44009</v>
      </c>
      <c r="I113" s="7">
        <v>44023</v>
      </c>
      <c r="J113" s="2" t="s">
        <v>19</v>
      </c>
      <c r="K113" s="2">
        <v>165.63</v>
      </c>
      <c r="L113" s="2">
        <v>29.87</v>
      </c>
      <c r="M113" s="2">
        <v>135.76</v>
      </c>
      <c r="N113" s="2">
        <v>-14</v>
      </c>
      <c r="O113" s="8">
        <f t="shared" si="1"/>
        <v>-1900.6399999999999</v>
      </c>
      <c r="P113" s="1" t="s">
        <v>20</v>
      </c>
      <c r="R113" s="1" t="s">
        <v>45</v>
      </c>
    </row>
    <row r="114" spans="1:18" ht="36" x14ac:dyDescent="0.25">
      <c r="A114" s="6" t="s">
        <v>27</v>
      </c>
      <c r="B114" s="2">
        <v>730</v>
      </c>
      <c r="C114" s="7">
        <v>43960</v>
      </c>
      <c r="D114" s="2" t="str">
        <f>"3020298121"</f>
        <v>3020298121</v>
      </c>
      <c r="E114" s="7">
        <v>43944</v>
      </c>
      <c r="F114" s="2">
        <v>0</v>
      </c>
      <c r="G114" s="2">
        <v>0</v>
      </c>
      <c r="H114" s="7">
        <v>43960</v>
      </c>
      <c r="I114" s="7">
        <v>43974</v>
      </c>
      <c r="J114" s="2" t="s">
        <v>19</v>
      </c>
      <c r="K114" s="2">
        <v>2.42</v>
      </c>
      <c r="L114" s="2">
        <v>2.42</v>
      </c>
      <c r="M114" s="2">
        <v>0</v>
      </c>
      <c r="N114" s="2">
        <v>-14</v>
      </c>
      <c r="O114" s="8">
        <f t="shared" si="1"/>
        <v>0</v>
      </c>
      <c r="P114" s="1" t="s">
        <v>20</v>
      </c>
      <c r="R114" s="1" t="s">
        <v>28</v>
      </c>
    </row>
    <row r="115" spans="1:18" x14ac:dyDescent="0.25">
      <c r="A115" s="6" t="s">
        <v>121</v>
      </c>
      <c r="B115" s="2">
        <v>916</v>
      </c>
      <c r="C115" s="7">
        <v>43980</v>
      </c>
      <c r="D115" s="2" t="str">
        <f>"00060099000149"</f>
        <v>00060099000149</v>
      </c>
      <c r="E115" s="7">
        <v>43966</v>
      </c>
      <c r="F115" s="2">
        <v>0</v>
      </c>
      <c r="G115" s="2">
        <v>0</v>
      </c>
      <c r="H115" s="7">
        <v>43981</v>
      </c>
      <c r="I115" s="7">
        <v>43996</v>
      </c>
      <c r="J115" s="2" t="s">
        <v>19</v>
      </c>
      <c r="K115" s="2">
        <v>459</v>
      </c>
      <c r="L115" s="2">
        <v>82.77</v>
      </c>
      <c r="M115" s="2">
        <v>376.23</v>
      </c>
      <c r="N115" s="2">
        <v>-15</v>
      </c>
      <c r="O115" s="8">
        <f t="shared" si="1"/>
        <v>-5643.4500000000007</v>
      </c>
      <c r="P115" s="1" t="s">
        <v>20</v>
      </c>
      <c r="R115" s="1" t="s">
        <v>122</v>
      </c>
    </row>
    <row r="116" spans="1:18" x14ac:dyDescent="0.25">
      <c r="A116" s="6" t="s">
        <v>123</v>
      </c>
      <c r="B116" s="2">
        <v>720</v>
      </c>
      <c r="C116" s="7">
        <v>43953</v>
      </c>
      <c r="D116" s="2" t="s">
        <v>124</v>
      </c>
      <c r="E116" s="7">
        <v>43921</v>
      </c>
      <c r="F116" s="2">
        <v>0</v>
      </c>
      <c r="G116" s="2">
        <v>0</v>
      </c>
      <c r="H116" s="7">
        <v>43953</v>
      </c>
      <c r="I116" s="7">
        <v>43969</v>
      </c>
      <c r="J116" s="2" t="s">
        <v>19</v>
      </c>
      <c r="K116" s="9">
        <v>1406</v>
      </c>
      <c r="L116" s="2">
        <v>0</v>
      </c>
      <c r="M116" s="9">
        <v>1406</v>
      </c>
      <c r="N116" s="2">
        <v>-16</v>
      </c>
      <c r="O116" s="8">
        <f t="shared" si="1"/>
        <v>-22496</v>
      </c>
      <c r="P116" s="1" t="s">
        <v>20</v>
      </c>
      <c r="R116" s="1" t="s">
        <v>125</v>
      </c>
    </row>
    <row r="117" spans="1:18" x14ac:dyDescent="0.25">
      <c r="A117" s="6" t="s">
        <v>29</v>
      </c>
      <c r="B117" s="2">
        <v>743</v>
      </c>
      <c r="C117" s="7">
        <v>43967</v>
      </c>
      <c r="D117" s="2" t="s">
        <v>126</v>
      </c>
      <c r="E117" s="7">
        <v>43953</v>
      </c>
      <c r="F117" s="2">
        <v>0</v>
      </c>
      <c r="G117" s="2">
        <v>0</v>
      </c>
      <c r="H117" s="7">
        <v>43967</v>
      </c>
      <c r="I117" s="7">
        <v>43985</v>
      </c>
      <c r="J117" s="2" t="s">
        <v>19</v>
      </c>
      <c r="K117" s="2">
        <v>201.96</v>
      </c>
      <c r="L117" s="2">
        <v>36.42</v>
      </c>
      <c r="M117" s="2">
        <v>165.54</v>
      </c>
      <c r="N117" s="2">
        <v>-18</v>
      </c>
      <c r="O117" s="8">
        <f t="shared" si="1"/>
        <v>-2979.72</v>
      </c>
      <c r="P117" s="1" t="s">
        <v>20</v>
      </c>
      <c r="R117" s="1" t="s">
        <v>31</v>
      </c>
    </row>
    <row r="118" spans="1:18" x14ac:dyDescent="0.25">
      <c r="A118" s="6" t="s">
        <v>29</v>
      </c>
      <c r="B118" s="2">
        <v>742</v>
      </c>
      <c r="C118" s="7">
        <v>43967</v>
      </c>
      <c r="D118" s="2" t="s">
        <v>127</v>
      </c>
      <c r="E118" s="7">
        <v>43953</v>
      </c>
      <c r="F118" s="2">
        <v>0</v>
      </c>
      <c r="G118" s="2">
        <v>0</v>
      </c>
      <c r="H118" s="7">
        <v>43967</v>
      </c>
      <c r="I118" s="7">
        <v>43985</v>
      </c>
      <c r="J118" s="2" t="s">
        <v>19</v>
      </c>
      <c r="K118" s="2">
        <v>258.10000000000002</v>
      </c>
      <c r="L118" s="2">
        <v>46.54</v>
      </c>
      <c r="M118" s="2">
        <v>211.56</v>
      </c>
      <c r="N118" s="2">
        <v>-18</v>
      </c>
      <c r="O118" s="8">
        <f t="shared" si="1"/>
        <v>-3808.08</v>
      </c>
      <c r="P118" s="1" t="s">
        <v>20</v>
      </c>
      <c r="R118" s="1" t="s">
        <v>31</v>
      </c>
    </row>
    <row r="119" spans="1:18" x14ac:dyDescent="0.25">
      <c r="A119" s="6" t="s">
        <v>29</v>
      </c>
      <c r="B119" s="2">
        <v>739</v>
      </c>
      <c r="C119" s="7">
        <v>43967</v>
      </c>
      <c r="D119" s="2" t="s">
        <v>128</v>
      </c>
      <c r="E119" s="7">
        <v>43953</v>
      </c>
      <c r="F119" s="2">
        <v>0</v>
      </c>
      <c r="G119" s="2">
        <v>0</v>
      </c>
      <c r="H119" s="7">
        <v>43967</v>
      </c>
      <c r="I119" s="7">
        <v>43985</v>
      </c>
      <c r="J119" s="2" t="s">
        <v>19</v>
      </c>
      <c r="K119" s="2">
        <v>536.4</v>
      </c>
      <c r="L119" s="2">
        <v>96.73</v>
      </c>
      <c r="M119" s="2">
        <v>439.67</v>
      </c>
      <c r="N119" s="2">
        <v>-18</v>
      </c>
      <c r="O119" s="8">
        <f t="shared" si="1"/>
        <v>-7914.06</v>
      </c>
      <c r="P119" s="1" t="s">
        <v>20</v>
      </c>
      <c r="R119" s="1" t="s">
        <v>31</v>
      </c>
    </row>
    <row r="120" spans="1:18" x14ac:dyDescent="0.25">
      <c r="A120" s="6" t="s">
        <v>29</v>
      </c>
      <c r="B120" s="2">
        <v>741</v>
      </c>
      <c r="C120" s="7">
        <v>43967</v>
      </c>
      <c r="D120" s="2" t="s">
        <v>129</v>
      </c>
      <c r="E120" s="7">
        <v>43953</v>
      </c>
      <c r="F120" s="2">
        <v>0</v>
      </c>
      <c r="G120" s="2">
        <v>0</v>
      </c>
      <c r="H120" s="7">
        <v>43967</v>
      </c>
      <c r="I120" s="7">
        <v>43985</v>
      </c>
      <c r="J120" s="2" t="s">
        <v>19</v>
      </c>
      <c r="K120" s="2">
        <v>230.18</v>
      </c>
      <c r="L120" s="2">
        <v>41.51</v>
      </c>
      <c r="M120" s="2">
        <v>188.67</v>
      </c>
      <c r="N120" s="2">
        <v>-18</v>
      </c>
      <c r="O120" s="8">
        <f t="shared" si="1"/>
        <v>-3396.06</v>
      </c>
      <c r="P120" s="1" t="s">
        <v>20</v>
      </c>
      <c r="R120" s="1" t="s">
        <v>31</v>
      </c>
    </row>
    <row r="121" spans="1:18" x14ac:dyDescent="0.25">
      <c r="A121" s="6" t="s">
        <v>29</v>
      </c>
      <c r="B121" s="2">
        <v>738</v>
      </c>
      <c r="C121" s="7">
        <v>43967</v>
      </c>
      <c r="D121" s="2" t="s">
        <v>130</v>
      </c>
      <c r="E121" s="7">
        <v>43953</v>
      </c>
      <c r="F121" s="2">
        <v>0</v>
      </c>
      <c r="G121" s="2">
        <v>0</v>
      </c>
      <c r="H121" s="7">
        <v>43967</v>
      </c>
      <c r="I121" s="7">
        <v>43985</v>
      </c>
      <c r="J121" s="2" t="s">
        <v>19</v>
      </c>
      <c r="K121" s="2">
        <v>320.02999999999997</v>
      </c>
      <c r="L121" s="2">
        <v>57.71</v>
      </c>
      <c r="M121" s="2">
        <v>262.32</v>
      </c>
      <c r="N121" s="2">
        <v>-18</v>
      </c>
      <c r="O121" s="8">
        <f t="shared" si="1"/>
        <v>-4721.76</v>
      </c>
      <c r="P121" s="1" t="s">
        <v>20</v>
      </c>
      <c r="R121" s="1" t="s">
        <v>31</v>
      </c>
    </row>
    <row r="122" spans="1:18" x14ac:dyDescent="0.25">
      <c r="A122" s="6" t="s">
        <v>29</v>
      </c>
      <c r="B122" s="2">
        <v>740</v>
      </c>
      <c r="C122" s="7">
        <v>43967</v>
      </c>
      <c r="D122" s="2" t="s">
        <v>131</v>
      </c>
      <c r="E122" s="7">
        <v>43953</v>
      </c>
      <c r="F122" s="2">
        <v>0</v>
      </c>
      <c r="G122" s="2">
        <v>0</v>
      </c>
      <c r="H122" s="7">
        <v>43967</v>
      </c>
      <c r="I122" s="7">
        <v>43985</v>
      </c>
      <c r="J122" s="2" t="s">
        <v>19</v>
      </c>
      <c r="K122" s="9">
        <v>2376.6799999999998</v>
      </c>
      <c r="L122" s="2">
        <v>428.58</v>
      </c>
      <c r="M122" s="9">
        <v>1948.1</v>
      </c>
      <c r="N122" s="2">
        <v>-18</v>
      </c>
      <c r="O122" s="8">
        <f t="shared" si="1"/>
        <v>-35065.799999999996</v>
      </c>
      <c r="P122" s="1" t="s">
        <v>20</v>
      </c>
      <c r="R122" s="1" t="s">
        <v>31</v>
      </c>
    </row>
    <row r="123" spans="1:18" x14ac:dyDescent="0.25">
      <c r="A123" s="6" t="s">
        <v>132</v>
      </c>
      <c r="B123" s="2">
        <v>737</v>
      </c>
      <c r="C123" s="7">
        <v>43967</v>
      </c>
      <c r="D123" s="2" t="str">
        <f>"20200924"</f>
        <v>20200924</v>
      </c>
      <c r="E123" s="7">
        <v>43951</v>
      </c>
      <c r="F123" s="2">
        <v>0</v>
      </c>
      <c r="G123" s="2">
        <v>0</v>
      </c>
      <c r="H123" s="7">
        <v>43967</v>
      </c>
      <c r="I123" s="7">
        <v>43985</v>
      </c>
      <c r="J123" s="2" t="s">
        <v>19</v>
      </c>
      <c r="K123" s="2">
        <v>30.1</v>
      </c>
      <c r="L123" s="2">
        <v>5.43</v>
      </c>
      <c r="M123" s="2">
        <v>24.67</v>
      </c>
      <c r="N123" s="2">
        <v>-18</v>
      </c>
      <c r="O123" s="8">
        <f t="shared" si="1"/>
        <v>-444.06000000000006</v>
      </c>
      <c r="P123" s="1" t="s">
        <v>20</v>
      </c>
      <c r="R123" s="1" t="s">
        <v>85</v>
      </c>
    </row>
    <row r="124" spans="1:18" ht="36" x14ac:dyDescent="0.25">
      <c r="A124" s="6" t="s">
        <v>27</v>
      </c>
      <c r="B124" s="2">
        <v>960</v>
      </c>
      <c r="C124" s="7">
        <v>43988</v>
      </c>
      <c r="D124" s="2" t="str">
        <f>"3020435432"</f>
        <v>3020435432</v>
      </c>
      <c r="E124" s="7">
        <v>43977</v>
      </c>
      <c r="F124" s="2">
        <v>0</v>
      </c>
      <c r="G124" s="2">
        <v>0</v>
      </c>
      <c r="H124" s="7">
        <v>43988</v>
      </c>
      <c r="I124" s="7">
        <v>44007</v>
      </c>
      <c r="J124" s="2" t="s">
        <v>19</v>
      </c>
      <c r="K124" s="2">
        <v>12.83</v>
      </c>
      <c r="L124" s="2">
        <v>12.83</v>
      </c>
      <c r="M124" s="2">
        <v>0</v>
      </c>
      <c r="N124" s="2">
        <v>-19</v>
      </c>
      <c r="O124" s="8">
        <f t="shared" si="1"/>
        <v>0</v>
      </c>
      <c r="P124" s="1" t="s">
        <v>20</v>
      </c>
      <c r="R124" s="1" t="s">
        <v>28</v>
      </c>
    </row>
    <row r="125" spans="1:18" x14ac:dyDescent="0.25">
      <c r="A125" s="6" t="s">
        <v>23</v>
      </c>
      <c r="B125" s="2">
        <v>729</v>
      </c>
      <c r="C125" s="7">
        <v>43960</v>
      </c>
      <c r="D125" s="2" t="str">
        <f>"42001606409"</f>
        <v>42001606409</v>
      </c>
      <c r="E125" s="7">
        <v>43944</v>
      </c>
      <c r="F125" s="2">
        <v>0</v>
      </c>
      <c r="G125" s="2">
        <v>0</v>
      </c>
      <c r="H125" s="7">
        <v>43960</v>
      </c>
      <c r="I125" s="7">
        <v>43979</v>
      </c>
      <c r="J125" s="2" t="s">
        <v>19</v>
      </c>
      <c r="K125" s="2">
        <v>47.74</v>
      </c>
      <c r="L125" s="2">
        <v>8.61</v>
      </c>
      <c r="M125" s="2">
        <v>39.130000000000003</v>
      </c>
      <c r="N125" s="2">
        <v>-19</v>
      </c>
      <c r="O125" s="8">
        <f t="shared" si="1"/>
        <v>-743.47</v>
      </c>
      <c r="P125" s="1" t="s">
        <v>20</v>
      </c>
      <c r="R125" s="1" t="s">
        <v>24</v>
      </c>
    </row>
    <row r="126" spans="1:18" x14ac:dyDescent="0.25">
      <c r="A126" s="6" t="s">
        <v>133</v>
      </c>
      <c r="B126" s="2">
        <v>576</v>
      </c>
      <c r="C126" s="7">
        <v>43939</v>
      </c>
      <c r="D126" s="2" t="str">
        <f>"032031"</f>
        <v>032031</v>
      </c>
      <c r="E126" s="7">
        <v>43921</v>
      </c>
      <c r="F126" s="2">
        <v>0</v>
      </c>
      <c r="G126" s="2">
        <v>0</v>
      </c>
      <c r="H126" s="7">
        <v>43939</v>
      </c>
      <c r="I126" s="7">
        <v>43958</v>
      </c>
      <c r="J126" s="2" t="s">
        <v>19</v>
      </c>
      <c r="K126" s="2">
        <v>117.4</v>
      </c>
      <c r="L126" s="2">
        <v>21.17</v>
      </c>
      <c r="M126" s="2">
        <v>96.23</v>
      </c>
      <c r="N126" s="2">
        <v>-19</v>
      </c>
      <c r="O126" s="8">
        <f t="shared" si="1"/>
        <v>-1828.3700000000001</v>
      </c>
      <c r="P126" s="1" t="s">
        <v>20</v>
      </c>
      <c r="R126" s="1" t="s">
        <v>116</v>
      </c>
    </row>
    <row r="127" spans="1:18" x14ac:dyDescent="0.25">
      <c r="A127" s="6" t="s">
        <v>133</v>
      </c>
      <c r="B127" s="2">
        <v>578</v>
      </c>
      <c r="C127" s="7">
        <v>43939</v>
      </c>
      <c r="D127" s="2" t="str">
        <f>"032033"</f>
        <v>032033</v>
      </c>
      <c r="E127" s="7">
        <v>43921</v>
      </c>
      <c r="F127" s="2">
        <v>0</v>
      </c>
      <c r="G127" s="2">
        <v>0</v>
      </c>
      <c r="H127" s="7">
        <v>43939</v>
      </c>
      <c r="I127" s="7">
        <v>43958</v>
      </c>
      <c r="J127" s="2" t="s">
        <v>19</v>
      </c>
      <c r="K127" s="2">
        <v>76.7</v>
      </c>
      <c r="L127" s="2">
        <v>13.83</v>
      </c>
      <c r="M127" s="2">
        <v>62.87</v>
      </c>
      <c r="N127" s="2">
        <v>-19</v>
      </c>
      <c r="O127" s="8">
        <f t="shared" si="1"/>
        <v>-1194.53</v>
      </c>
      <c r="P127" s="1" t="s">
        <v>20</v>
      </c>
      <c r="R127" s="1" t="s">
        <v>116</v>
      </c>
    </row>
    <row r="128" spans="1:18" x14ac:dyDescent="0.25">
      <c r="A128" s="6" t="s">
        <v>133</v>
      </c>
      <c r="B128" s="2">
        <v>581</v>
      </c>
      <c r="C128" s="7">
        <v>43939</v>
      </c>
      <c r="D128" s="2" t="str">
        <f>"032036"</f>
        <v>032036</v>
      </c>
      <c r="E128" s="7">
        <v>43921</v>
      </c>
      <c r="F128" s="2">
        <v>0</v>
      </c>
      <c r="G128" s="2">
        <v>0</v>
      </c>
      <c r="H128" s="7">
        <v>43939</v>
      </c>
      <c r="I128" s="7">
        <v>43958</v>
      </c>
      <c r="J128" s="2" t="s">
        <v>19</v>
      </c>
      <c r="K128" s="2">
        <v>76.59</v>
      </c>
      <c r="L128" s="2">
        <v>13.81</v>
      </c>
      <c r="M128" s="2">
        <v>62.78</v>
      </c>
      <c r="N128" s="2">
        <v>-19</v>
      </c>
      <c r="O128" s="8">
        <f t="shared" si="1"/>
        <v>-1192.82</v>
      </c>
      <c r="P128" s="1" t="s">
        <v>20</v>
      </c>
      <c r="R128" s="1" t="s">
        <v>116</v>
      </c>
    </row>
    <row r="129" spans="1:18" x14ac:dyDescent="0.25">
      <c r="A129" s="6" t="s">
        <v>133</v>
      </c>
      <c r="B129" s="2">
        <v>580</v>
      </c>
      <c r="C129" s="7">
        <v>43939</v>
      </c>
      <c r="D129" s="2" t="str">
        <f>"032037"</f>
        <v>032037</v>
      </c>
      <c r="E129" s="7">
        <v>43921</v>
      </c>
      <c r="F129" s="2">
        <v>0</v>
      </c>
      <c r="G129" s="2">
        <v>0</v>
      </c>
      <c r="H129" s="7">
        <v>43939</v>
      </c>
      <c r="I129" s="7">
        <v>43958</v>
      </c>
      <c r="J129" s="2" t="s">
        <v>19</v>
      </c>
      <c r="K129" s="2">
        <v>76.84</v>
      </c>
      <c r="L129" s="2">
        <v>13.86</v>
      </c>
      <c r="M129" s="2">
        <v>62.98</v>
      </c>
      <c r="N129" s="2">
        <v>-19</v>
      </c>
      <c r="O129" s="8">
        <f t="shared" si="1"/>
        <v>-1196.6199999999999</v>
      </c>
      <c r="P129" s="1" t="s">
        <v>20</v>
      </c>
      <c r="R129" s="1" t="s">
        <v>116</v>
      </c>
    </row>
    <row r="130" spans="1:18" x14ac:dyDescent="0.25">
      <c r="A130" s="6" t="s">
        <v>133</v>
      </c>
      <c r="B130" s="2">
        <v>576</v>
      </c>
      <c r="C130" s="7">
        <v>43939</v>
      </c>
      <c r="D130" s="2" t="str">
        <f>"032035"</f>
        <v>032035</v>
      </c>
      <c r="E130" s="7">
        <v>43921</v>
      </c>
      <c r="F130" s="2">
        <v>0</v>
      </c>
      <c r="G130" s="2">
        <v>0</v>
      </c>
      <c r="H130" s="7">
        <v>43939</v>
      </c>
      <c r="I130" s="7">
        <v>43958</v>
      </c>
      <c r="J130" s="2" t="s">
        <v>19</v>
      </c>
      <c r="K130" s="2">
        <v>95.73</v>
      </c>
      <c r="L130" s="2">
        <v>17.260000000000002</v>
      </c>
      <c r="M130" s="2">
        <v>78.47</v>
      </c>
      <c r="N130" s="2">
        <v>-19</v>
      </c>
      <c r="O130" s="8">
        <f t="shared" si="1"/>
        <v>-1490.93</v>
      </c>
      <c r="P130" s="1" t="s">
        <v>20</v>
      </c>
      <c r="R130" s="1" t="s">
        <v>116</v>
      </c>
    </row>
    <row r="131" spans="1:18" x14ac:dyDescent="0.25">
      <c r="A131" s="6" t="s">
        <v>133</v>
      </c>
      <c r="B131" s="2">
        <v>579</v>
      </c>
      <c r="C131" s="7">
        <v>43939</v>
      </c>
      <c r="D131" s="2" t="str">
        <f>"032030"</f>
        <v>032030</v>
      </c>
      <c r="E131" s="7">
        <v>43921</v>
      </c>
      <c r="F131" s="2">
        <v>0</v>
      </c>
      <c r="G131" s="2">
        <v>0</v>
      </c>
      <c r="H131" s="7">
        <v>43939</v>
      </c>
      <c r="I131" s="7">
        <v>43958</v>
      </c>
      <c r="J131" s="2" t="s">
        <v>19</v>
      </c>
      <c r="K131" s="2">
        <v>213.26</v>
      </c>
      <c r="L131" s="2">
        <v>38.46</v>
      </c>
      <c r="M131" s="2">
        <v>174.8</v>
      </c>
      <c r="N131" s="2">
        <v>-19</v>
      </c>
      <c r="O131" s="8">
        <f t="shared" ref="O131:O194" si="2">+M131*N131</f>
        <v>-3321.2000000000003</v>
      </c>
      <c r="P131" s="1" t="s">
        <v>20</v>
      </c>
      <c r="R131" s="1" t="s">
        <v>116</v>
      </c>
    </row>
    <row r="132" spans="1:18" x14ac:dyDescent="0.25">
      <c r="A132" s="6" t="s">
        <v>133</v>
      </c>
      <c r="B132" s="2">
        <v>576</v>
      </c>
      <c r="C132" s="7">
        <v>43939</v>
      </c>
      <c r="D132" s="2" t="str">
        <f>"032032"</f>
        <v>032032</v>
      </c>
      <c r="E132" s="7">
        <v>43921</v>
      </c>
      <c r="F132" s="2">
        <v>0</v>
      </c>
      <c r="G132" s="2">
        <v>0</v>
      </c>
      <c r="H132" s="7">
        <v>43939</v>
      </c>
      <c r="I132" s="7">
        <v>43958</v>
      </c>
      <c r="J132" s="2" t="s">
        <v>19</v>
      </c>
      <c r="K132" s="2">
        <v>449.79</v>
      </c>
      <c r="L132" s="2">
        <v>81.11</v>
      </c>
      <c r="M132" s="2">
        <v>368.68</v>
      </c>
      <c r="N132" s="2">
        <v>-19</v>
      </c>
      <c r="O132" s="8">
        <f t="shared" si="2"/>
        <v>-7004.92</v>
      </c>
      <c r="P132" s="1" t="s">
        <v>20</v>
      </c>
      <c r="R132" s="1" t="s">
        <v>116</v>
      </c>
    </row>
    <row r="133" spans="1:18" x14ac:dyDescent="0.25">
      <c r="A133" s="6" t="s">
        <v>133</v>
      </c>
      <c r="B133" s="2">
        <v>577</v>
      </c>
      <c r="C133" s="7">
        <v>43939</v>
      </c>
      <c r="D133" s="2" t="str">
        <f>"032034"</f>
        <v>032034</v>
      </c>
      <c r="E133" s="7">
        <v>43921</v>
      </c>
      <c r="F133" s="2">
        <v>0</v>
      </c>
      <c r="G133" s="2">
        <v>0</v>
      </c>
      <c r="H133" s="7">
        <v>43939</v>
      </c>
      <c r="I133" s="7">
        <v>43958</v>
      </c>
      <c r="J133" s="2" t="s">
        <v>19</v>
      </c>
      <c r="K133" s="2">
        <v>77.31</v>
      </c>
      <c r="L133" s="2">
        <v>13.94</v>
      </c>
      <c r="M133" s="2">
        <v>63.37</v>
      </c>
      <c r="N133" s="2">
        <v>-19</v>
      </c>
      <c r="O133" s="8">
        <f t="shared" si="2"/>
        <v>-1204.03</v>
      </c>
      <c r="P133" s="1" t="s">
        <v>20</v>
      </c>
      <c r="R133" s="1" t="s">
        <v>116</v>
      </c>
    </row>
    <row r="134" spans="1:18" ht="24" x14ac:dyDescent="0.25">
      <c r="A134" s="6" t="s">
        <v>134</v>
      </c>
      <c r="B134" s="2">
        <v>873</v>
      </c>
      <c r="C134" s="7">
        <v>43973</v>
      </c>
      <c r="D134" s="2" t="s">
        <v>135</v>
      </c>
      <c r="E134" s="7">
        <v>43962</v>
      </c>
      <c r="F134" s="2">
        <v>0</v>
      </c>
      <c r="G134" s="2">
        <v>0</v>
      </c>
      <c r="H134" s="7">
        <v>43973</v>
      </c>
      <c r="I134" s="7">
        <v>43992</v>
      </c>
      <c r="J134" s="2" t="s">
        <v>19</v>
      </c>
      <c r="K134" s="9">
        <v>43288.17</v>
      </c>
      <c r="L134" s="9">
        <v>3935.29</v>
      </c>
      <c r="M134" s="9">
        <v>39352.879999999997</v>
      </c>
      <c r="N134" s="2">
        <v>-19</v>
      </c>
      <c r="O134" s="8">
        <f t="shared" si="2"/>
        <v>-747704.72</v>
      </c>
      <c r="P134" s="1" t="s">
        <v>20</v>
      </c>
      <c r="R134" s="1" t="s">
        <v>136</v>
      </c>
    </row>
    <row r="135" spans="1:18" x14ac:dyDescent="0.25">
      <c r="A135" s="6" t="s">
        <v>137</v>
      </c>
      <c r="B135" s="2">
        <v>562</v>
      </c>
      <c r="C135" s="7">
        <v>43931</v>
      </c>
      <c r="D135" s="2" t="str">
        <f>"0000098"</f>
        <v>0000098</v>
      </c>
      <c r="E135" s="7">
        <v>43914</v>
      </c>
      <c r="F135" s="2">
        <v>0</v>
      </c>
      <c r="G135" s="2">
        <v>0</v>
      </c>
      <c r="H135" s="7">
        <v>43931</v>
      </c>
      <c r="I135" s="7">
        <v>43951</v>
      </c>
      <c r="J135" s="2" t="s">
        <v>19</v>
      </c>
      <c r="K135" s="2">
        <v>313.54000000000002</v>
      </c>
      <c r="L135" s="2">
        <v>56.54</v>
      </c>
      <c r="M135" s="2">
        <v>257</v>
      </c>
      <c r="N135" s="2">
        <v>-20</v>
      </c>
      <c r="O135" s="8">
        <f t="shared" si="2"/>
        <v>-5140</v>
      </c>
      <c r="P135" s="1" t="s">
        <v>20</v>
      </c>
      <c r="R135" s="1" t="s">
        <v>85</v>
      </c>
    </row>
    <row r="136" spans="1:18" x14ac:dyDescent="0.25">
      <c r="A136" s="6" t="s">
        <v>138</v>
      </c>
      <c r="B136" s="2">
        <v>559</v>
      </c>
      <c r="C136" s="7">
        <v>43931</v>
      </c>
      <c r="D136" s="2" t="str">
        <f>"00020200006"</f>
        <v>00020200006</v>
      </c>
      <c r="E136" s="7">
        <v>43920</v>
      </c>
      <c r="F136" s="2">
        <v>0</v>
      </c>
      <c r="G136" s="2">
        <v>0</v>
      </c>
      <c r="H136" s="7">
        <v>43931</v>
      </c>
      <c r="I136" s="7">
        <v>43951</v>
      </c>
      <c r="J136" s="2" t="s">
        <v>19</v>
      </c>
      <c r="K136" s="9">
        <v>96387.78</v>
      </c>
      <c r="L136" s="9">
        <v>8762.5300000000007</v>
      </c>
      <c r="M136" s="9">
        <v>87625.25</v>
      </c>
      <c r="N136" s="2">
        <v>-20</v>
      </c>
      <c r="O136" s="8">
        <f t="shared" si="2"/>
        <v>-1752505</v>
      </c>
      <c r="P136" s="1" t="s">
        <v>20</v>
      </c>
      <c r="R136" s="1" t="s">
        <v>45</v>
      </c>
    </row>
    <row r="137" spans="1:18" x14ac:dyDescent="0.25">
      <c r="A137" s="6" t="s">
        <v>111</v>
      </c>
      <c r="B137" s="2">
        <v>574</v>
      </c>
      <c r="C137" s="7">
        <v>43939</v>
      </c>
      <c r="D137" s="2" t="s">
        <v>139</v>
      </c>
      <c r="E137" s="7">
        <v>43930</v>
      </c>
      <c r="F137" s="2">
        <v>0</v>
      </c>
      <c r="G137" s="2">
        <v>0</v>
      </c>
      <c r="H137" s="7">
        <v>43939</v>
      </c>
      <c r="I137" s="7">
        <v>43960</v>
      </c>
      <c r="J137" s="2" t="s">
        <v>19</v>
      </c>
      <c r="K137" s="2">
        <v>35.020000000000003</v>
      </c>
      <c r="L137" s="2">
        <v>4.5599999999999996</v>
      </c>
      <c r="M137" s="2">
        <v>30.46</v>
      </c>
      <c r="N137" s="2">
        <v>-21</v>
      </c>
      <c r="O137" s="8">
        <f t="shared" si="2"/>
        <v>-639.66</v>
      </c>
      <c r="P137" s="1" t="s">
        <v>20</v>
      </c>
      <c r="R137" s="1" t="s">
        <v>22</v>
      </c>
    </row>
    <row r="138" spans="1:18" x14ac:dyDescent="0.25">
      <c r="A138" s="6" t="s">
        <v>111</v>
      </c>
      <c r="B138" s="2">
        <v>894</v>
      </c>
      <c r="C138" s="7">
        <v>43973</v>
      </c>
      <c r="D138" s="2" t="s">
        <v>140</v>
      </c>
      <c r="E138" s="7">
        <v>43963</v>
      </c>
      <c r="F138" s="2">
        <v>0</v>
      </c>
      <c r="G138" s="2">
        <v>0</v>
      </c>
      <c r="H138" s="7">
        <v>43973</v>
      </c>
      <c r="I138" s="7">
        <v>43994</v>
      </c>
      <c r="J138" s="2" t="s">
        <v>19</v>
      </c>
      <c r="K138" s="2">
        <v>12.55</v>
      </c>
      <c r="L138" s="2">
        <v>2.2599999999999998</v>
      </c>
      <c r="M138" s="2">
        <v>10.29</v>
      </c>
      <c r="N138" s="2">
        <v>-21</v>
      </c>
      <c r="O138" s="8">
        <f t="shared" si="2"/>
        <v>-216.08999999999997</v>
      </c>
      <c r="P138" s="1" t="s">
        <v>20</v>
      </c>
      <c r="R138" s="1" t="s">
        <v>22</v>
      </c>
    </row>
    <row r="139" spans="1:18" x14ac:dyDescent="0.25">
      <c r="A139" s="6" t="s">
        <v>141</v>
      </c>
      <c r="B139" s="2">
        <v>561</v>
      </c>
      <c r="C139" s="7">
        <v>43931</v>
      </c>
      <c r="D139" s="2" t="s">
        <v>142</v>
      </c>
      <c r="E139" s="7">
        <v>43922</v>
      </c>
      <c r="F139" s="2">
        <v>0</v>
      </c>
      <c r="G139" s="2">
        <v>0</v>
      </c>
      <c r="H139" s="7">
        <v>43931</v>
      </c>
      <c r="I139" s="7">
        <v>43952</v>
      </c>
      <c r="J139" s="2" t="s">
        <v>19</v>
      </c>
      <c r="K139" s="9">
        <v>2926.38</v>
      </c>
      <c r="L139" s="2">
        <v>527.71</v>
      </c>
      <c r="M139" s="9">
        <v>2398.67</v>
      </c>
      <c r="N139" s="2">
        <v>-21</v>
      </c>
      <c r="O139" s="8">
        <f t="shared" si="2"/>
        <v>-50372.07</v>
      </c>
      <c r="P139" s="1" t="s">
        <v>20</v>
      </c>
      <c r="R139" s="1" t="s">
        <v>24</v>
      </c>
    </row>
    <row r="140" spans="1:18" x14ac:dyDescent="0.25">
      <c r="A140" s="6" t="s">
        <v>141</v>
      </c>
      <c r="B140" s="2">
        <v>976</v>
      </c>
      <c r="C140" s="7">
        <v>43994</v>
      </c>
      <c r="D140" s="2" t="s">
        <v>143</v>
      </c>
      <c r="E140" s="7">
        <v>43985</v>
      </c>
      <c r="F140" s="2">
        <v>0</v>
      </c>
      <c r="G140" s="2">
        <v>0</v>
      </c>
      <c r="H140" s="7">
        <v>43994</v>
      </c>
      <c r="I140" s="7">
        <v>44015</v>
      </c>
      <c r="J140" s="2" t="s">
        <v>19</v>
      </c>
      <c r="K140" s="9">
        <v>2926.38</v>
      </c>
      <c r="L140" s="2">
        <v>527.71</v>
      </c>
      <c r="M140" s="9">
        <v>2398.67</v>
      </c>
      <c r="N140" s="2">
        <v>-21</v>
      </c>
      <c r="O140" s="8">
        <f t="shared" si="2"/>
        <v>-50372.07</v>
      </c>
      <c r="P140" s="1" t="s">
        <v>20</v>
      </c>
      <c r="R140" s="1" t="s">
        <v>85</v>
      </c>
    </row>
    <row r="141" spans="1:18" x14ac:dyDescent="0.25">
      <c r="A141" s="6" t="s">
        <v>144</v>
      </c>
      <c r="B141" s="2">
        <v>1085</v>
      </c>
      <c r="C141" s="7">
        <v>44009</v>
      </c>
      <c r="D141" s="2" t="str">
        <f>"0004500392"</f>
        <v>0004500392</v>
      </c>
      <c r="E141" s="7">
        <v>44000</v>
      </c>
      <c r="F141" s="2">
        <v>0</v>
      </c>
      <c r="G141" s="2">
        <v>0</v>
      </c>
      <c r="H141" s="7">
        <v>44009</v>
      </c>
      <c r="I141" s="7">
        <v>44030</v>
      </c>
      <c r="J141" s="2" t="s">
        <v>19</v>
      </c>
      <c r="K141" s="2">
        <v>265.5</v>
      </c>
      <c r="L141" s="2">
        <v>0</v>
      </c>
      <c r="M141" s="2">
        <v>265.5</v>
      </c>
      <c r="N141" s="2">
        <v>-21</v>
      </c>
      <c r="O141" s="8">
        <f t="shared" si="2"/>
        <v>-5575.5</v>
      </c>
      <c r="P141" s="1" t="s">
        <v>20</v>
      </c>
      <c r="R141" s="1" t="s">
        <v>145</v>
      </c>
    </row>
    <row r="142" spans="1:18" x14ac:dyDescent="0.25">
      <c r="A142" s="6" t="s">
        <v>146</v>
      </c>
      <c r="B142" s="2">
        <v>1089</v>
      </c>
      <c r="C142" s="7">
        <v>44009</v>
      </c>
      <c r="D142" s="2" t="s">
        <v>147</v>
      </c>
      <c r="E142" s="7">
        <v>43997</v>
      </c>
      <c r="F142" s="2">
        <v>0</v>
      </c>
      <c r="G142" s="2">
        <v>0</v>
      </c>
      <c r="H142" s="7">
        <v>44009</v>
      </c>
      <c r="I142" s="7">
        <v>44030</v>
      </c>
      <c r="J142" s="2" t="s">
        <v>19</v>
      </c>
      <c r="K142" s="9">
        <v>35222.54</v>
      </c>
      <c r="L142" s="2">
        <v>0</v>
      </c>
      <c r="M142" s="9">
        <v>35222.54</v>
      </c>
      <c r="N142" s="2">
        <v>-21</v>
      </c>
      <c r="O142" s="8">
        <f t="shared" si="2"/>
        <v>-739673.34</v>
      </c>
      <c r="P142" s="1" t="s">
        <v>20</v>
      </c>
      <c r="R142" s="1" t="s">
        <v>85</v>
      </c>
    </row>
    <row r="143" spans="1:18" x14ac:dyDescent="0.25">
      <c r="A143" s="6" t="s">
        <v>106</v>
      </c>
      <c r="B143" s="2">
        <v>749</v>
      </c>
      <c r="C143" s="7">
        <v>43967</v>
      </c>
      <c r="D143" s="2" t="str">
        <f>"0001125943"</f>
        <v>0001125943</v>
      </c>
      <c r="E143" s="7">
        <v>43951</v>
      </c>
      <c r="F143" s="2">
        <v>0</v>
      </c>
      <c r="G143" s="2">
        <v>0</v>
      </c>
      <c r="H143" s="7">
        <v>43967</v>
      </c>
      <c r="I143" s="7">
        <v>43989</v>
      </c>
      <c r="J143" s="2" t="s">
        <v>19</v>
      </c>
      <c r="K143" s="2">
        <v>522.5</v>
      </c>
      <c r="L143" s="2">
        <v>0</v>
      </c>
      <c r="M143" s="2">
        <v>522.5</v>
      </c>
      <c r="N143" s="2">
        <v>-22</v>
      </c>
      <c r="O143" s="8">
        <f t="shared" si="2"/>
        <v>-11495</v>
      </c>
      <c r="P143" s="1" t="s">
        <v>20</v>
      </c>
      <c r="R143" s="1" t="s">
        <v>107</v>
      </c>
    </row>
    <row r="144" spans="1:18" x14ac:dyDescent="0.25">
      <c r="A144" s="6" t="s">
        <v>111</v>
      </c>
      <c r="B144" s="2">
        <v>978</v>
      </c>
      <c r="C144" s="7">
        <v>43994</v>
      </c>
      <c r="D144" s="2" t="s">
        <v>148</v>
      </c>
      <c r="E144" s="7">
        <v>43986</v>
      </c>
      <c r="F144" s="2">
        <v>0</v>
      </c>
      <c r="G144" s="2">
        <v>0</v>
      </c>
      <c r="H144" s="7">
        <v>43994</v>
      </c>
      <c r="I144" s="7">
        <v>44017</v>
      </c>
      <c r="J144" s="2" t="s">
        <v>19</v>
      </c>
      <c r="K144" s="2">
        <v>12.55</v>
      </c>
      <c r="L144" s="2">
        <v>2.2599999999999998</v>
      </c>
      <c r="M144" s="2">
        <v>10.29</v>
      </c>
      <c r="N144" s="2">
        <v>-23</v>
      </c>
      <c r="O144" s="8">
        <f t="shared" si="2"/>
        <v>-236.67</v>
      </c>
      <c r="P144" s="1" t="s">
        <v>20</v>
      </c>
      <c r="R144" s="1" t="s">
        <v>22</v>
      </c>
    </row>
    <row r="145" spans="1:18" x14ac:dyDescent="0.25">
      <c r="A145" s="6" t="s">
        <v>146</v>
      </c>
      <c r="B145" s="2">
        <v>746</v>
      </c>
      <c r="C145" s="7">
        <v>43967</v>
      </c>
      <c r="D145" s="2" t="s">
        <v>149</v>
      </c>
      <c r="E145" s="7">
        <v>43930</v>
      </c>
      <c r="F145" s="2">
        <v>0</v>
      </c>
      <c r="G145" s="2">
        <v>0</v>
      </c>
      <c r="H145" s="7">
        <v>43967</v>
      </c>
      <c r="I145" s="7">
        <v>43990</v>
      </c>
      <c r="J145" s="2" t="s">
        <v>19</v>
      </c>
      <c r="K145" s="2">
        <v>158.16</v>
      </c>
      <c r="L145" s="2">
        <v>0</v>
      </c>
      <c r="M145" s="2">
        <v>158.16</v>
      </c>
      <c r="N145" s="2">
        <v>-23</v>
      </c>
      <c r="O145" s="8">
        <f t="shared" si="2"/>
        <v>-3637.68</v>
      </c>
      <c r="P145" s="1" t="s">
        <v>20</v>
      </c>
      <c r="R145" s="1" t="s">
        <v>85</v>
      </c>
    </row>
    <row r="146" spans="1:18" x14ac:dyDescent="0.25">
      <c r="A146" s="6" t="s">
        <v>150</v>
      </c>
      <c r="B146" s="2">
        <v>965</v>
      </c>
      <c r="C146" s="7">
        <v>43994</v>
      </c>
      <c r="D146" s="2" t="s">
        <v>151</v>
      </c>
      <c r="E146" s="7">
        <v>43982</v>
      </c>
      <c r="F146" s="2">
        <v>0</v>
      </c>
      <c r="G146" s="2">
        <v>0</v>
      </c>
      <c r="H146" s="7">
        <v>43994</v>
      </c>
      <c r="I146" s="7">
        <v>44017</v>
      </c>
      <c r="J146" s="2" t="s">
        <v>19</v>
      </c>
      <c r="K146" s="2">
        <v>309.88</v>
      </c>
      <c r="L146" s="2">
        <v>55.88</v>
      </c>
      <c r="M146" s="2">
        <v>254</v>
      </c>
      <c r="N146" s="2">
        <v>-23</v>
      </c>
      <c r="O146" s="8">
        <f t="shared" si="2"/>
        <v>-5842</v>
      </c>
      <c r="P146" s="1" t="s">
        <v>20</v>
      </c>
      <c r="R146" s="1" t="s">
        <v>47</v>
      </c>
    </row>
    <row r="147" spans="1:18" x14ac:dyDescent="0.25">
      <c r="A147" s="6" t="s">
        <v>133</v>
      </c>
      <c r="B147" s="2">
        <v>885</v>
      </c>
      <c r="C147" s="7">
        <v>43973</v>
      </c>
      <c r="D147" s="2" t="str">
        <f>"046506"</f>
        <v>046506</v>
      </c>
      <c r="E147" s="7">
        <v>43951</v>
      </c>
      <c r="F147" s="2">
        <v>0</v>
      </c>
      <c r="G147" s="2">
        <v>0</v>
      </c>
      <c r="H147" s="7">
        <v>43973</v>
      </c>
      <c r="I147" s="7">
        <v>43996</v>
      </c>
      <c r="J147" s="2" t="s">
        <v>19</v>
      </c>
      <c r="K147" s="2">
        <v>76.69</v>
      </c>
      <c r="L147" s="2">
        <v>13.83</v>
      </c>
      <c r="M147" s="2">
        <v>62.86</v>
      </c>
      <c r="N147" s="2">
        <v>-23</v>
      </c>
      <c r="O147" s="8">
        <f t="shared" si="2"/>
        <v>-1445.78</v>
      </c>
      <c r="P147" s="1" t="s">
        <v>20</v>
      </c>
      <c r="R147" s="1" t="s">
        <v>116</v>
      </c>
    </row>
    <row r="148" spans="1:18" x14ac:dyDescent="0.25">
      <c r="A148" s="6" t="s">
        <v>133</v>
      </c>
      <c r="B148" s="2">
        <v>883</v>
      </c>
      <c r="C148" s="7">
        <v>43973</v>
      </c>
      <c r="D148" s="2" t="str">
        <f>"046510"</f>
        <v>046510</v>
      </c>
      <c r="E148" s="7">
        <v>43951</v>
      </c>
      <c r="F148" s="2">
        <v>0</v>
      </c>
      <c r="G148" s="2">
        <v>0</v>
      </c>
      <c r="H148" s="7">
        <v>43973</v>
      </c>
      <c r="I148" s="7">
        <v>43996</v>
      </c>
      <c r="J148" s="2" t="s">
        <v>19</v>
      </c>
      <c r="K148" s="2">
        <v>76.59</v>
      </c>
      <c r="L148" s="2">
        <v>13.81</v>
      </c>
      <c r="M148" s="2">
        <v>62.78</v>
      </c>
      <c r="N148" s="2">
        <v>-23</v>
      </c>
      <c r="O148" s="8">
        <f t="shared" si="2"/>
        <v>-1443.94</v>
      </c>
      <c r="P148" s="1" t="s">
        <v>20</v>
      </c>
      <c r="R148" s="1" t="s">
        <v>116</v>
      </c>
    </row>
    <row r="149" spans="1:18" x14ac:dyDescent="0.25">
      <c r="A149" s="6" t="s">
        <v>133</v>
      </c>
      <c r="B149" s="2">
        <v>887</v>
      </c>
      <c r="C149" s="7">
        <v>43973</v>
      </c>
      <c r="D149" s="2" t="str">
        <f>"046511"</f>
        <v>046511</v>
      </c>
      <c r="E149" s="7">
        <v>43951</v>
      </c>
      <c r="F149" s="2">
        <v>0</v>
      </c>
      <c r="G149" s="2">
        <v>0</v>
      </c>
      <c r="H149" s="7">
        <v>43973</v>
      </c>
      <c r="I149" s="7">
        <v>43996</v>
      </c>
      <c r="J149" s="2" t="s">
        <v>19</v>
      </c>
      <c r="K149" s="2">
        <v>448.47</v>
      </c>
      <c r="L149" s="2">
        <v>80.87</v>
      </c>
      <c r="M149" s="2">
        <v>367.6</v>
      </c>
      <c r="N149" s="2">
        <v>-23</v>
      </c>
      <c r="O149" s="8">
        <f t="shared" si="2"/>
        <v>-8454.8000000000011</v>
      </c>
      <c r="P149" s="1" t="s">
        <v>20</v>
      </c>
      <c r="R149" s="1" t="s">
        <v>116</v>
      </c>
    </row>
    <row r="150" spans="1:18" x14ac:dyDescent="0.25">
      <c r="A150" s="6" t="s">
        <v>133</v>
      </c>
      <c r="B150" s="2">
        <v>887</v>
      </c>
      <c r="C150" s="7">
        <v>43973</v>
      </c>
      <c r="D150" s="2" t="str">
        <f>"046507"</f>
        <v>046507</v>
      </c>
      <c r="E150" s="7">
        <v>43951</v>
      </c>
      <c r="F150" s="2">
        <v>0</v>
      </c>
      <c r="G150" s="2">
        <v>0</v>
      </c>
      <c r="H150" s="7">
        <v>43973</v>
      </c>
      <c r="I150" s="7">
        <v>43996</v>
      </c>
      <c r="J150" s="2" t="s">
        <v>19</v>
      </c>
      <c r="K150" s="2">
        <v>95.73</v>
      </c>
      <c r="L150" s="2">
        <v>17.260000000000002</v>
      </c>
      <c r="M150" s="2">
        <v>78.47</v>
      </c>
      <c r="N150" s="2">
        <v>-23</v>
      </c>
      <c r="O150" s="8">
        <f t="shared" si="2"/>
        <v>-1804.81</v>
      </c>
      <c r="P150" s="1" t="s">
        <v>20</v>
      </c>
      <c r="R150" s="1" t="s">
        <v>116</v>
      </c>
    </row>
    <row r="151" spans="1:18" x14ac:dyDescent="0.25">
      <c r="A151" s="6" t="s">
        <v>133</v>
      </c>
      <c r="B151" s="2">
        <v>882</v>
      </c>
      <c r="C151" s="7">
        <v>43973</v>
      </c>
      <c r="D151" s="2" t="str">
        <f>"046508"</f>
        <v>046508</v>
      </c>
      <c r="E151" s="7">
        <v>43951</v>
      </c>
      <c r="F151" s="2">
        <v>0</v>
      </c>
      <c r="G151" s="2">
        <v>0</v>
      </c>
      <c r="H151" s="7">
        <v>43973</v>
      </c>
      <c r="I151" s="7">
        <v>43996</v>
      </c>
      <c r="J151" s="2" t="s">
        <v>19</v>
      </c>
      <c r="K151" s="2">
        <v>76.59</v>
      </c>
      <c r="L151" s="2">
        <v>13.81</v>
      </c>
      <c r="M151" s="2">
        <v>62.78</v>
      </c>
      <c r="N151" s="2">
        <v>-23</v>
      </c>
      <c r="O151" s="8">
        <f t="shared" si="2"/>
        <v>-1443.94</v>
      </c>
      <c r="P151" s="1" t="s">
        <v>20</v>
      </c>
      <c r="R151" s="1" t="s">
        <v>116</v>
      </c>
    </row>
    <row r="152" spans="1:18" x14ac:dyDescent="0.25">
      <c r="A152" s="6" t="s">
        <v>133</v>
      </c>
      <c r="B152" s="2">
        <v>887</v>
      </c>
      <c r="C152" s="7">
        <v>43973</v>
      </c>
      <c r="D152" s="2" t="str">
        <f>"046505"</f>
        <v>046505</v>
      </c>
      <c r="E152" s="7">
        <v>43951</v>
      </c>
      <c r="F152" s="2">
        <v>0</v>
      </c>
      <c r="G152" s="2">
        <v>0</v>
      </c>
      <c r="H152" s="7">
        <v>43973</v>
      </c>
      <c r="I152" s="7">
        <v>43996</v>
      </c>
      <c r="J152" s="2" t="s">
        <v>19</v>
      </c>
      <c r="K152" s="2">
        <v>40.659999999999997</v>
      </c>
      <c r="L152" s="2">
        <v>7.33</v>
      </c>
      <c r="M152" s="2">
        <v>33.33</v>
      </c>
      <c r="N152" s="2">
        <v>-23</v>
      </c>
      <c r="O152" s="8">
        <f t="shared" si="2"/>
        <v>-766.58999999999992</v>
      </c>
      <c r="P152" s="1" t="s">
        <v>20</v>
      </c>
      <c r="R152" s="1" t="s">
        <v>116</v>
      </c>
    </row>
    <row r="153" spans="1:18" x14ac:dyDescent="0.25">
      <c r="A153" s="6" t="s">
        <v>133</v>
      </c>
      <c r="B153" s="2">
        <v>886</v>
      </c>
      <c r="C153" s="7">
        <v>43973</v>
      </c>
      <c r="D153" s="2" t="str">
        <f>"046509"</f>
        <v>046509</v>
      </c>
      <c r="E153" s="7">
        <v>43951</v>
      </c>
      <c r="F153" s="2">
        <v>0</v>
      </c>
      <c r="G153" s="2">
        <v>0</v>
      </c>
      <c r="H153" s="7">
        <v>43973</v>
      </c>
      <c r="I153" s="7">
        <v>43996</v>
      </c>
      <c r="J153" s="2" t="s">
        <v>19</v>
      </c>
      <c r="K153" s="2">
        <v>76.66</v>
      </c>
      <c r="L153" s="2">
        <v>13.82</v>
      </c>
      <c r="M153" s="2">
        <v>62.84</v>
      </c>
      <c r="N153" s="2">
        <v>-23</v>
      </c>
      <c r="O153" s="8">
        <f t="shared" si="2"/>
        <v>-1445.3200000000002</v>
      </c>
      <c r="P153" s="1" t="s">
        <v>20</v>
      </c>
      <c r="R153" s="1" t="s">
        <v>116</v>
      </c>
    </row>
    <row r="154" spans="1:18" x14ac:dyDescent="0.25">
      <c r="A154" s="6" t="s">
        <v>133</v>
      </c>
      <c r="B154" s="2">
        <v>884</v>
      </c>
      <c r="C154" s="7">
        <v>43973</v>
      </c>
      <c r="D154" s="2" t="str">
        <f>"046512"</f>
        <v>046512</v>
      </c>
      <c r="E154" s="7">
        <v>43951</v>
      </c>
      <c r="F154" s="2">
        <v>0</v>
      </c>
      <c r="G154" s="2">
        <v>0</v>
      </c>
      <c r="H154" s="7">
        <v>43973</v>
      </c>
      <c r="I154" s="7">
        <v>43996</v>
      </c>
      <c r="J154" s="2" t="s">
        <v>19</v>
      </c>
      <c r="K154" s="2">
        <v>227.77</v>
      </c>
      <c r="L154" s="2">
        <v>41.07</v>
      </c>
      <c r="M154" s="2">
        <v>186.7</v>
      </c>
      <c r="N154" s="2">
        <v>-23</v>
      </c>
      <c r="O154" s="8">
        <f t="shared" si="2"/>
        <v>-4294.0999999999995</v>
      </c>
      <c r="P154" s="1" t="s">
        <v>20</v>
      </c>
      <c r="R154" s="1" t="s">
        <v>116</v>
      </c>
    </row>
    <row r="155" spans="1:18" x14ac:dyDescent="0.25">
      <c r="A155" s="6" t="s">
        <v>152</v>
      </c>
      <c r="B155" s="2">
        <v>744</v>
      </c>
      <c r="C155" s="7">
        <v>43967</v>
      </c>
      <c r="D155" s="2" t="s">
        <v>153</v>
      </c>
      <c r="E155" s="7">
        <v>43930</v>
      </c>
      <c r="F155" s="2">
        <v>0</v>
      </c>
      <c r="G155" s="2">
        <v>0</v>
      </c>
      <c r="H155" s="7">
        <v>43967</v>
      </c>
      <c r="I155" s="7">
        <v>43991</v>
      </c>
      <c r="J155" s="2" t="s">
        <v>19</v>
      </c>
      <c r="K155" s="9">
        <v>3045.12</v>
      </c>
      <c r="L155" s="2">
        <v>0</v>
      </c>
      <c r="M155" s="9">
        <v>3045.12</v>
      </c>
      <c r="N155" s="2">
        <v>-24</v>
      </c>
      <c r="O155" s="8">
        <f t="shared" si="2"/>
        <v>-73082.880000000005</v>
      </c>
      <c r="P155" s="1" t="s">
        <v>20</v>
      </c>
      <c r="R155" s="1" t="s">
        <v>154</v>
      </c>
    </row>
    <row r="156" spans="1:18" x14ac:dyDescent="0.25">
      <c r="A156" s="6" t="s">
        <v>155</v>
      </c>
      <c r="B156" s="2">
        <v>897</v>
      </c>
      <c r="C156" s="7">
        <v>43973</v>
      </c>
      <c r="D156" s="2" t="s">
        <v>156</v>
      </c>
      <c r="E156" s="7">
        <v>43966</v>
      </c>
      <c r="F156" s="2">
        <v>0</v>
      </c>
      <c r="G156" s="2">
        <v>0</v>
      </c>
      <c r="H156" s="7">
        <v>43973</v>
      </c>
      <c r="I156" s="7">
        <v>43997</v>
      </c>
      <c r="J156" s="2" t="s">
        <v>19</v>
      </c>
      <c r="K156" s="9">
        <v>1830</v>
      </c>
      <c r="L156" s="2">
        <v>330</v>
      </c>
      <c r="M156" s="9">
        <v>1500</v>
      </c>
      <c r="N156" s="2">
        <v>-24</v>
      </c>
      <c r="O156" s="8">
        <f t="shared" si="2"/>
        <v>-36000</v>
      </c>
      <c r="P156" s="1" t="s">
        <v>20</v>
      </c>
      <c r="R156" s="1" t="s">
        <v>154</v>
      </c>
    </row>
    <row r="157" spans="1:18" x14ac:dyDescent="0.25">
      <c r="A157" s="6" t="s">
        <v>18</v>
      </c>
      <c r="B157" s="2">
        <v>905</v>
      </c>
      <c r="C157" s="7">
        <v>43977</v>
      </c>
      <c r="D157" s="2" t="str">
        <f>"2020025849"</f>
        <v>2020025849</v>
      </c>
      <c r="E157" s="7">
        <v>43966</v>
      </c>
      <c r="F157" s="2">
        <v>0</v>
      </c>
      <c r="G157" s="2">
        <v>0</v>
      </c>
      <c r="H157" s="7">
        <v>43979</v>
      </c>
      <c r="I157" s="7">
        <v>44004</v>
      </c>
      <c r="J157" s="2" t="s">
        <v>19</v>
      </c>
      <c r="K157" s="2">
        <v>36.6</v>
      </c>
      <c r="L157" s="2">
        <v>6.6</v>
      </c>
      <c r="M157" s="2">
        <v>30</v>
      </c>
      <c r="N157" s="2">
        <v>-25</v>
      </c>
      <c r="O157" s="8">
        <f t="shared" si="2"/>
        <v>-750</v>
      </c>
      <c r="P157" s="1" t="s">
        <v>20</v>
      </c>
      <c r="R157" s="1" t="s">
        <v>22</v>
      </c>
    </row>
    <row r="158" spans="1:18" x14ac:dyDescent="0.25">
      <c r="A158" s="6" t="s">
        <v>18</v>
      </c>
      <c r="B158" s="2">
        <v>905</v>
      </c>
      <c r="C158" s="7">
        <v>43977</v>
      </c>
      <c r="D158" s="2" t="str">
        <f>"2020020744"</f>
        <v>2020020744</v>
      </c>
      <c r="E158" s="7">
        <v>43965</v>
      </c>
      <c r="F158" s="2">
        <v>0</v>
      </c>
      <c r="G158" s="2">
        <v>0</v>
      </c>
      <c r="H158" s="7">
        <v>43979</v>
      </c>
      <c r="I158" s="7">
        <v>44004</v>
      </c>
      <c r="J158" s="2" t="s">
        <v>19</v>
      </c>
      <c r="K158" s="2">
        <v>36.6</v>
      </c>
      <c r="L158" s="2">
        <v>6.6</v>
      </c>
      <c r="M158" s="2">
        <v>30</v>
      </c>
      <c r="N158" s="2">
        <v>-25</v>
      </c>
      <c r="O158" s="8">
        <f t="shared" si="2"/>
        <v>-750</v>
      </c>
      <c r="P158" s="1" t="s">
        <v>20</v>
      </c>
      <c r="R158" s="1" t="s">
        <v>22</v>
      </c>
    </row>
    <row r="159" spans="1:18" x14ac:dyDescent="0.25">
      <c r="A159" s="6" t="s">
        <v>18</v>
      </c>
      <c r="B159" s="2">
        <v>905</v>
      </c>
      <c r="C159" s="7">
        <v>43977</v>
      </c>
      <c r="D159" s="2" t="str">
        <f>"2020025850"</f>
        <v>2020025850</v>
      </c>
      <c r="E159" s="7">
        <v>43966</v>
      </c>
      <c r="F159" s="2">
        <v>0</v>
      </c>
      <c r="G159" s="2">
        <v>0</v>
      </c>
      <c r="H159" s="7">
        <v>43979</v>
      </c>
      <c r="I159" s="7">
        <v>44004</v>
      </c>
      <c r="J159" s="2" t="s">
        <v>19</v>
      </c>
      <c r="K159" s="2">
        <v>36.6</v>
      </c>
      <c r="L159" s="2">
        <v>6.6</v>
      </c>
      <c r="M159" s="2">
        <v>30</v>
      </c>
      <c r="N159" s="2">
        <v>-25</v>
      </c>
      <c r="O159" s="8">
        <f t="shared" si="2"/>
        <v>-750</v>
      </c>
      <c r="P159" s="1" t="s">
        <v>20</v>
      </c>
      <c r="R159" s="1" t="s">
        <v>22</v>
      </c>
    </row>
    <row r="160" spans="1:18" x14ac:dyDescent="0.25">
      <c r="A160" s="6" t="s">
        <v>18</v>
      </c>
      <c r="B160" s="2">
        <v>905</v>
      </c>
      <c r="C160" s="7">
        <v>43977</v>
      </c>
      <c r="D160" s="2" t="str">
        <f>"2020025848"</f>
        <v>2020025848</v>
      </c>
      <c r="E160" s="7">
        <v>43966</v>
      </c>
      <c r="F160" s="2">
        <v>0</v>
      </c>
      <c r="G160" s="2">
        <v>0</v>
      </c>
      <c r="H160" s="7">
        <v>43979</v>
      </c>
      <c r="I160" s="7">
        <v>44004</v>
      </c>
      <c r="J160" s="2" t="s">
        <v>19</v>
      </c>
      <c r="K160" s="2">
        <v>36.6</v>
      </c>
      <c r="L160" s="2">
        <v>6.6</v>
      </c>
      <c r="M160" s="2">
        <v>30</v>
      </c>
      <c r="N160" s="2">
        <v>-25</v>
      </c>
      <c r="O160" s="8">
        <f t="shared" si="2"/>
        <v>-750</v>
      </c>
      <c r="P160" s="1" t="s">
        <v>20</v>
      </c>
      <c r="R160" s="1" t="s">
        <v>22</v>
      </c>
    </row>
    <row r="161" spans="1:18" x14ac:dyDescent="0.25">
      <c r="A161" s="6" t="s">
        <v>141</v>
      </c>
      <c r="B161" s="2">
        <v>733</v>
      </c>
      <c r="C161" s="7">
        <v>43967</v>
      </c>
      <c r="D161" s="2" t="s">
        <v>157</v>
      </c>
      <c r="E161" s="7">
        <v>43957</v>
      </c>
      <c r="F161" s="2">
        <v>0</v>
      </c>
      <c r="G161" s="2">
        <v>0</v>
      </c>
      <c r="H161" s="7">
        <v>43967</v>
      </c>
      <c r="I161" s="7">
        <v>43992</v>
      </c>
      <c r="J161" s="2" t="s">
        <v>19</v>
      </c>
      <c r="K161" s="9">
        <v>2926.38</v>
      </c>
      <c r="L161" s="2">
        <v>527.71</v>
      </c>
      <c r="M161" s="9">
        <v>2398.67</v>
      </c>
      <c r="N161" s="2">
        <v>-25</v>
      </c>
      <c r="O161" s="8">
        <f t="shared" si="2"/>
        <v>-59966.75</v>
      </c>
      <c r="P161" s="1" t="s">
        <v>20</v>
      </c>
      <c r="R161" s="1" t="s">
        <v>24</v>
      </c>
    </row>
    <row r="162" spans="1:18" x14ac:dyDescent="0.25">
      <c r="A162" s="6" t="s">
        <v>123</v>
      </c>
      <c r="B162" s="2">
        <v>946</v>
      </c>
      <c r="C162" s="7">
        <v>43988</v>
      </c>
      <c r="D162" s="2" t="s">
        <v>158</v>
      </c>
      <c r="E162" s="7">
        <v>43982</v>
      </c>
      <c r="F162" s="2">
        <v>0</v>
      </c>
      <c r="G162" s="2">
        <v>0</v>
      </c>
      <c r="H162" s="7">
        <v>43988</v>
      </c>
      <c r="I162" s="7">
        <v>44013</v>
      </c>
      <c r="J162" s="2" t="s">
        <v>19</v>
      </c>
      <c r="K162" s="9">
        <v>1406.76</v>
      </c>
      <c r="L162" s="2">
        <v>0</v>
      </c>
      <c r="M162" s="9">
        <v>1406.76</v>
      </c>
      <c r="N162" s="2">
        <v>-25</v>
      </c>
      <c r="O162" s="8">
        <f t="shared" si="2"/>
        <v>-35169</v>
      </c>
      <c r="P162" s="1" t="s">
        <v>20</v>
      </c>
      <c r="R162" s="1" t="s">
        <v>125</v>
      </c>
    </row>
    <row r="163" spans="1:18" x14ac:dyDescent="0.25">
      <c r="A163" s="6" t="s">
        <v>123</v>
      </c>
      <c r="B163" s="2">
        <v>947</v>
      </c>
      <c r="C163" s="7">
        <v>43988</v>
      </c>
      <c r="D163" s="2" t="s">
        <v>159</v>
      </c>
      <c r="E163" s="7">
        <v>43982</v>
      </c>
      <c r="F163" s="2">
        <v>0</v>
      </c>
      <c r="G163" s="2">
        <v>0</v>
      </c>
      <c r="H163" s="7">
        <v>43988</v>
      </c>
      <c r="I163" s="7">
        <v>44013</v>
      </c>
      <c r="J163" s="2" t="s">
        <v>19</v>
      </c>
      <c r="K163" s="9">
        <v>1567.5</v>
      </c>
      <c r="L163" s="2">
        <v>0</v>
      </c>
      <c r="M163" s="9">
        <v>1567.5</v>
      </c>
      <c r="N163" s="2">
        <v>-25</v>
      </c>
      <c r="O163" s="8">
        <f t="shared" si="2"/>
        <v>-39187.5</v>
      </c>
      <c r="P163" s="1" t="s">
        <v>20</v>
      </c>
      <c r="R163" s="1" t="s">
        <v>125</v>
      </c>
    </row>
    <row r="164" spans="1:18" x14ac:dyDescent="0.25">
      <c r="A164" s="6" t="s">
        <v>160</v>
      </c>
      <c r="B164" s="2">
        <v>912</v>
      </c>
      <c r="C164" s="7">
        <v>43980</v>
      </c>
      <c r="D164" s="2" t="s">
        <v>115</v>
      </c>
      <c r="E164" s="7">
        <v>43975</v>
      </c>
      <c r="F164" s="2">
        <v>0</v>
      </c>
      <c r="G164" s="2">
        <v>0</v>
      </c>
      <c r="H164" s="7">
        <v>43981</v>
      </c>
      <c r="I164" s="7">
        <v>44006</v>
      </c>
      <c r="J164" s="2" t="s">
        <v>19</v>
      </c>
      <c r="K164" s="2">
        <v>854</v>
      </c>
      <c r="L164" s="2">
        <v>154</v>
      </c>
      <c r="M164" s="2">
        <v>700</v>
      </c>
      <c r="N164" s="2">
        <v>-25</v>
      </c>
      <c r="O164" s="8">
        <f t="shared" si="2"/>
        <v>-17500</v>
      </c>
      <c r="P164" s="1" t="s">
        <v>20</v>
      </c>
      <c r="R164" s="1" t="s">
        <v>47</v>
      </c>
    </row>
    <row r="165" spans="1:18" x14ac:dyDescent="0.25">
      <c r="A165" s="6" t="s">
        <v>106</v>
      </c>
      <c r="B165" s="2">
        <v>537</v>
      </c>
      <c r="C165" s="7">
        <v>43925</v>
      </c>
      <c r="D165" s="2" t="str">
        <f>"0005809258"</f>
        <v>0005809258</v>
      </c>
      <c r="E165" s="7">
        <v>43908</v>
      </c>
      <c r="F165" s="2">
        <v>0</v>
      </c>
      <c r="G165" s="2">
        <v>0</v>
      </c>
      <c r="H165" s="7">
        <v>43925</v>
      </c>
      <c r="I165" s="7">
        <v>43951</v>
      </c>
      <c r="J165" s="2" t="s">
        <v>19</v>
      </c>
      <c r="K165" s="2">
        <v>81.2</v>
      </c>
      <c r="L165" s="2">
        <v>0</v>
      </c>
      <c r="M165" s="2">
        <v>81.2</v>
      </c>
      <c r="N165" s="2">
        <v>-26</v>
      </c>
      <c r="O165" s="8">
        <f t="shared" si="2"/>
        <v>-2111.2000000000003</v>
      </c>
      <c r="P165" s="1" t="s">
        <v>20</v>
      </c>
      <c r="R165" s="1" t="s">
        <v>107</v>
      </c>
    </row>
    <row r="166" spans="1:18" x14ac:dyDescent="0.25">
      <c r="A166" s="6" t="s">
        <v>108</v>
      </c>
      <c r="B166" s="2">
        <v>731</v>
      </c>
      <c r="C166" s="7">
        <v>43967</v>
      </c>
      <c r="D166" s="2" t="s">
        <v>161</v>
      </c>
      <c r="E166" s="7">
        <v>43957</v>
      </c>
      <c r="F166" s="2">
        <v>0</v>
      </c>
      <c r="G166" s="2">
        <v>0</v>
      </c>
      <c r="H166" s="7">
        <v>43967</v>
      </c>
      <c r="I166" s="7">
        <v>43993</v>
      </c>
      <c r="J166" s="2" t="s">
        <v>19</v>
      </c>
      <c r="K166" s="9">
        <v>14401.72</v>
      </c>
      <c r="L166" s="9">
        <v>1309.25</v>
      </c>
      <c r="M166" s="9">
        <v>13092.47</v>
      </c>
      <c r="N166" s="2">
        <v>-26</v>
      </c>
      <c r="O166" s="8">
        <f t="shared" si="2"/>
        <v>-340404.22</v>
      </c>
      <c r="P166" s="1" t="s">
        <v>20</v>
      </c>
      <c r="R166" s="1" t="s">
        <v>110</v>
      </c>
    </row>
    <row r="167" spans="1:18" x14ac:dyDescent="0.25">
      <c r="A167" s="6" t="s">
        <v>162</v>
      </c>
      <c r="B167" s="2">
        <v>964</v>
      </c>
      <c r="C167" s="7">
        <v>43994</v>
      </c>
      <c r="D167" s="2" t="s">
        <v>163</v>
      </c>
      <c r="E167" s="7">
        <v>43982</v>
      </c>
      <c r="F167" s="2">
        <v>0</v>
      </c>
      <c r="G167" s="2">
        <v>0</v>
      </c>
      <c r="H167" s="7">
        <v>43994</v>
      </c>
      <c r="I167" s="7">
        <v>44020</v>
      </c>
      <c r="J167" s="2" t="s">
        <v>19</v>
      </c>
      <c r="K167" s="9">
        <v>1360.3</v>
      </c>
      <c r="L167" s="2">
        <v>245.3</v>
      </c>
      <c r="M167" s="9">
        <v>1115</v>
      </c>
      <c r="N167" s="2">
        <v>-26</v>
      </c>
      <c r="O167" s="8">
        <f t="shared" si="2"/>
        <v>-28990</v>
      </c>
      <c r="P167" s="1" t="s">
        <v>20</v>
      </c>
      <c r="R167" s="1" t="s">
        <v>31</v>
      </c>
    </row>
    <row r="168" spans="1:18" x14ac:dyDescent="0.25">
      <c r="A168" s="6" t="s">
        <v>164</v>
      </c>
      <c r="B168" s="2">
        <v>536</v>
      </c>
      <c r="C168" s="7">
        <v>43925</v>
      </c>
      <c r="D168" s="2" t="str">
        <f>"192"</f>
        <v>192</v>
      </c>
      <c r="E168" s="7">
        <v>43909</v>
      </c>
      <c r="F168" s="2">
        <v>0</v>
      </c>
      <c r="G168" s="2">
        <v>0</v>
      </c>
      <c r="H168" s="7">
        <v>43925</v>
      </c>
      <c r="I168" s="7">
        <v>43951</v>
      </c>
      <c r="J168" s="2" t="s">
        <v>19</v>
      </c>
      <c r="K168" s="9">
        <v>1329.8</v>
      </c>
      <c r="L168" s="2">
        <v>239.8</v>
      </c>
      <c r="M168" s="9">
        <v>1090</v>
      </c>
      <c r="N168" s="2">
        <v>-26</v>
      </c>
      <c r="O168" s="8">
        <f t="shared" si="2"/>
        <v>-28340</v>
      </c>
      <c r="P168" s="1" t="s">
        <v>20</v>
      </c>
      <c r="R168" s="1" t="s">
        <v>47</v>
      </c>
    </row>
    <row r="169" spans="1:18" x14ac:dyDescent="0.25">
      <c r="A169" s="6" t="s">
        <v>165</v>
      </c>
      <c r="B169" s="2">
        <v>910</v>
      </c>
      <c r="C169" s="7">
        <v>43980</v>
      </c>
      <c r="D169" s="2" t="str">
        <f>"8"</f>
        <v>8</v>
      </c>
      <c r="E169" s="7">
        <v>43977</v>
      </c>
      <c r="F169" s="2">
        <v>0</v>
      </c>
      <c r="G169" s="2">
        <v>0</v>
      </c>
      <c r="H169" s="7">
        <v>43981</v>
      </c>
      <c r="I169" s="7">
        <v>44007</v>
      </c>
      <c r="J169" s="2" t="s">
        <v>19</v>
      </c>
      <c r="K169" s="9">
        <v>1015.04</v>
      </c>
      <c r="L169" s="2">
        <v>0</v>
      </c>
      <c r="M169" s="9">
        <v>1015.04</v>
      </c>
      <c r="N169" s="2">
        <v>-26</v>
      </c>
      <c r="O169" s="8">
        <f t="shared" si="2"/>
        <v>-26391.040000000001</v>
      </c>
      <c r="P169" s="1" t="s">
        <v>20</v>
      </c>
      <c r="R169" s="1" t="s">
        <v>166</v>
      </c>
    </row>
    <row r="170" spans="1:18" x14ac:dyDescent="0.25">
      <c r="A170" s="6" t="s">
        <v>167</v>
      </c>
      <c r="B170" s="2">
        <v>896</v>
      </c>
      <c r="C170" s="7">
        <v>43973</v>
      </c>
      <c r="D170" s="2" t="str">
        <f>"9"</f>
        <v>9</v>
      </c>
      <c r="E170" s="7">
        <v>43966</v>
      </c>
      <c r="F170" s="2">
        <v>0</v>
      </c>
      <c r="G170" s="2">
        <v>0</v>
      </c>
      <c r="H170" s="7">
        <v>43973</v>
      </c>
      <c r="I170" s="7">
        <v>44000</v>
      </c>
      <c r="J170" s="2" t="s">
        <v>19</v>
      </c>
      <c r="K170" s="9">
        <v>1159</v>
      </c>
      <c r="L170" s="2">
        <v>209</v>
      </c>
      <c r="M170" s="2">
        <v>950</v>
      </c>
      <c r="N170" s="2">
        <v>-27</v>
      </c>
      <c r="O170" s="8">
        <f t="shared" si="2"/>
        <v>-25650</v>
      </c>
      <c r="P170" s="1" t="s">
        <v>20</v>
      </c>
      <c r="R170" s="1" t="s">
        <v>168</v>
      </c>
    </row>
    <row r="171" spans="1:18" x14ac:dyDescent="0.25">
      <c r="A171" s="6" t="s">
        <v>18</v>
      </c>
      <c r="B171" s="2">
        <v>904</v>
      </c>
      <c r="C171" s="7">
        <v>43977</v>
      </c>
      <c r="D171" s="2" t="str">
        <f>"2020029336"</f>
        <v>2020029336</v>
      </c>
      <c r="E171" s="7">
        <v>43970</v>
      </c>
      <c r="F171" s="2">
        <v>0</v>
      </c>
      <c r="G171" s="2">
        <v>0</v>
      </c>
      <c r="H171" s="7">
        <v>43977</v>
      </c>
      <c r="I171" s="7">
        <v>44004</v>
      </c>
      <c r="J171" s="2" t="s">
        <v>19</v>
      </c>
      <c r="K171" s="2">
        <v>51.24</v>
      </c>
      <c r="L171" s="2">
        <v>9.24</v>
      </c>
      <c r="M171" s="2">
        <v>42</v>
      </c>
      <c r="N171" s="2">
        <v>-27</v>
      </c>
      <c r="O171" s="8">
        <f t="shared" si="2"/>
        <v>-1134</v>
      </c>
      <c r="P171" s="1" t="s">
        <v>20</v>
      </c>
      <c r="R171" s="1" t="s">
        <v>22</v>
      </c>
    </row>
    <row r="172" spans="1:18" x14ac:dyDescent="0.25">
      <c r="A172" s="6" t="s">
        <v>108</v>
      </c>
      <c r="B172" s="2">
        <v>977</v>
      </c>
      <c r="C172" s="7">
        <v>43994</v>
      </c>
      <c r="D172" s="2" t="s">
        <v>169</v>
      </c>
      <c r="E172" s="7">
        <v>43986</v>
      </c>
      <c r="F172" s="2">
        <v>0</v>
      </c>
      <c r="G172" s="2">
        <v>0</v>
      </c>
      <c r="H172" s="7">
        <v>43994</v>
      </c>
      <c r="I172" s="7">
        <v>44021</v>
      </c>
      <c r="J172" s="2" t="s">
        <v>19</v>
      </c>
      <c r="K172" s="2">
        <v>556.32000000000005</v>
      </c>
      <c r="L172" s="2">
        <v>100.32</v>
      </c>
      <c r="M172" s="2">
        <v>456</v>
      </c>
      <c r="N172" s="2">
        <v>-27</v>
      </c>
      <c r="O172" s="8">
        <f t="shared" si="2"/>
        <v>-12312</v>
      </c>
      <c r="P172" s="1" t="s">
        <v>20</v>
      </c>
      <c r="R172" s="1" t="s">
        <v>110</v>
      </c>
    </row>
    <row r="173" spans="1:18" x14ac:dyDescent="0.25">
      <c r="A173" s="6" t="s">
        <v>44</v>
      </c>
      <c r="B173" s="2">
        <v>1066</v>
      </c>
      <c r="C173" s="7">
        <v>44002</v>
      </c>
      <c r="D173" s="2" t="str">
        <f>"20094"</f>
        <v>20094</v>
      </c>
      <c r="E173" s="7">
        <v>43970</v>
      </c>
      <c r="F173" s="2">
        <v>0</v>
      </c>
      <c r="G173" s="2">
        <v>0</v>
      </c>
      <c r="H173" s="7">
        <v>44002</v>
      </c>
      <c r="I173" s="7">
        <v>44030</v>
      </c>
      <c r="J173" s="2" t="s">
        <v>19</v>
      </c>
      <c r="K173" s="2">
        <v>189.33</v>
      </c>
      <c r="L173" s="2">
        <v>34.14</v>
      </c>
      <c r="M173" s="2">
        <v>155.19</v>
      </c>
      <c r="N173" s="2">
        <v>-28</v>
      </c>
      <c r="O173" s="8">
        <f t="shared" si="2"/>
        <v>-4345.32</v>
      </c>
      <c r="P173" s="1" t="s">
        <v>20</v>
      </c>
      <c r="R173" s="1" t="s">
        <v>45</v>
      </c>
    </row>
    <row r="174" spans="1:18" x14ac:dyDescent="0.25">
      <c r="A174" s="6" t="s">
        <v>44</v>
      </c>
      <c r="B174" s="2">
        <v>1067</v>
      </c>
      <c r="C174" s="7">
        <v>44002</v>
      </c>
      <c r="D174" s="2" t="str">
        <f>"20093"</f>
        <v>20093</v>
      </c>
      <c r="E174" s="7">
        <v>43970</v>
      </c>
      <c r="F174" s="2">
        <v>0</v>
      </c>
      <c r="G174" s="2">
        <v>0</v>
      </c>
      <c r="H174" s="7">
        <v>44002</v>
      </c>
      <c r="I174" s="7">
        <v>44030</v>
      </c>
      <c r="J174" s="2" t="s">
        <v>19</v>
      </c>
      <c r="K174" s="9">
        <v>3449.88</v>
      </c>
      <c r="L174" s="2">
        <v>622.11</v>
      </c>
      <c r="M174" s="9">
        <v>2827.77</v>
      </c>
      <c r="N174" s="2">
        <v>-28</v>
      </c>
      <c r="O174" s="8">
        <f t="shared" si="2"/>
        <v>-79177.56</v>
      </c>
      <c r="P174" s="1" t="s">
        <v>20</v>
      </c>
      <c r="R174" s="1" t="s">
        <v>45</v>
      </c>
    </row>
    <row r="175" spans="1:18" x14ac:dyDescent="0.25">
      <c r="A175" s="6" t="s">
        <v>170</v>
      </c>
      <c r="B175" s="2">
        <v>949</v>
      </c>
      <c r="C175" s="7">
        <v>43988</v>
      </c>
      <c r="D175" s="2" t="s">
        <v>171</v>
      </c>
      <c r="E175" s="7">
        <v>43986</v>
      </c>
      <c r="F175" s="2">
        <v>0</v>
      </c>
      <c r="G175" s="2">
        <v>0</v>
      </c>
      <c r="H175" s="7">
        <v>43988</v>
      </c>
      <c r="I175" s="7">
        <v>44016</v>
      </c>
      <c r="J175" s="2" t="s">
        <v>19</v>
      </c>
      <c r="K175" s="9">
        <v>1980</v>
      </c>
      <c r="L175" s="2">
        <v>180</v>
      </c>
      <c r="M175" s="9">
        <v>1800</v>
      </c>
      <c r="N175" s="2">
        <v>-28</v>
      </c>
      <c r="O175" s="8">
        <f t="shared" si="2"/>
        <v>-50400</v>
      </c>
      <c r="P175" s="1" t="s">
        <v>20</v>
      </c>
      <c r="R175" s="1" t="s">
        <v>45</v>
      </c>
    </row>
    <row r="176" spans="1:18" x14ac:dyDescent="0.25">
      <c r="A176" s="6" t="s">
        <v>170</v>
      </c>
      <c r="B176" s="2">
        <v>950</v>
      </c>
      <c r="C176" s="7">
        <v>43988</v>
      </c>
      <c r="D176" s="2" t="s">
        <v>172</v>
      </c>
      <c r="E176" s="7">
        <v>43986</v>
      </c>
      <c r="F176" s="2">
        <v>0</v>
      </c>
      <c r="G176" s="2">
        <v>0</v>
      </c>
      <c r="H176" s="7">
        <v>43988</v>
      </c>
      <c r="I176" s="7">
        <v>44016</v>
      </c>
      <c r="J176" s="2" t="s">
        <v>19</v>
      </c>
      <c r="K176" s="9">
        <v>2827</v>
      </c>
      <c r="L176" s="2">
        <v>257</v>
      </c>
      <c r="M176" s="9">
        <v>2570</v>
      </c>
      <c r="N176" s="2">
        <v>-28</v>
      </c>
      <c r="O176" s="8">
        <f t="shared" si="2"/>
        <v>-71960</v>
      </c>
      <c r="P176" s="1" t="s">
        <v>20</v>
      </c>
      <c r="R176" s="1" t="s">
        <v>45</v>
      </c>
    </row>
    <row r="177" spans="1:18" x14ac:dyDescent="0.25">
      <c r="A177" s="6" t="s">
        <v>123</v>
      </c>
      <c r="B177" s="2">
        <v>888</v>
      </c>
      <c r="C177" s="7">
        <v>43973</v>
      </c>
      <c r="D177" s="2" t="s">
        <v>173</v>
      </c>
      <c r="E177" s="7">
        <v>43951</v>
      </c>
      <c r="F177" s="2">
        <v>0</v>
      </c>
      <c r="G177" s="2">
        <v>0</v>
      </c>
      <c r="H177" s="7">
        <v>43973</v>
      </c>
      <c r="I177" s="7">
        <v>44001</v>
      </c>
      <c r="J177" s="2" t="s">
        <v>19</v>
      </c>
      <c r="K177" s="9">
        <v>1214</v>
      </c>
      <c r="L177" s="2">
        <v>0</v>
      </c>
      <c r="M177" s="9">
        <v>1214</v>
      </c>
      <c r="N177" s="2">
        <v>-28</v>
      </c>
      <c r="O177" s="8">
        <f t="shared" si="2"/>
        <v>-33992</v>
      </c>
      <c r="P177" s="1" t="s">
        <v>20</v>
      </c>
      <c r="R177" s="1" t="s">
        <v>125</v>
      </c>
    </row>
    <row r="178" spans="1:18" x14ac:dyDescent="0.25">
      <c r="A178" s="6" t="s">
        <v>123</v>
      </c>
      <c r="B178" s="2">
        <v>889</v>
      </c>
      <c r="C178" s="7">
        <v>43973</v>
      </c>
      <c r="D178" s="2" t="s">
        <v>174</v>
      </c>
      <c r="E178" s="7">
        <v>43951</v>
      </c>
      <c r="F178" s="2">
        <v>0</v>
      </c>
      <c r="G178" s="2">
        <v>0</v>
      </c>
      <c r="H178" s="7">
        <v>43973</v>
      </c>
      <c r="I178" s="7">
        <v>44001</v>
      </c>
      <c r="J178" s="2" t="s">
        <v>19</v>
      </c>
      <c r="K178" s="9">
        <v>1356.5</v>
      </c>
      <c r="L178" s="2">
        <v>0</v>
      </c>
      <c r="M178" s="9">
        <v>1356.5</v>
      </c>
      <c r="N178" s="2">
        <v>-28</v>
      </c>
      <c r="O178" s="8">
        <f t="shared" si="2"/>
        <v>-37982</v>
      </c>
      <c r="P178" s="1" t="s">
        <v>20</v>
      </c>
      <c r="R178" s="1" t="s">
        <v>125</v>
      </c>
    </row>
    <row r="179" spans="1:18" x14ac:dyDescent="0.25">
      <c r="A179" s="6" t="s">
        <v>83</v>
      </c>
      <c r="B179" s="2">
        <v>722</v>
      </c>
      <c r="C179" s="7">
        <v>43953</v>
      </c>
      <c r="D179" s="2" t="s">
        <v>175</v>
      </c>
      <c r="E179" s="7">
        <v>43938</v>
      </c>
      <c r="F179" s="2">
        <v>0</v>
      </c>
      <c r="G179" s="2">
        <v>0</v>
      </c>
      <c r="H179" s="7">
        <v>43953</v>
      </c>
      <c r="I179" s="7">
        <v>43982</v>
      </c>
      <c r="J179" s="2" t="s">
        <v>19</v>
      </c>
      <c r="K179" s="2">
        <v>652</v>
      </c>
      <c r="L179" s="2">
        <v>0</v>
      </c>
      <c r="M179" s="2">
        <v>652</v>
      </c>
      <c r="N179" s="2">
        <v>-29</v>
      </c>
      <c r="O179" s="8">
        <f t="shared" si="2"/>
        <v>-18908</v>
      </c>
      <c r="P179" s="1" t="s">
        <v>20</v>
      </c>
      <c r="R179" s="1" t="s">
        <v>85</v>
      </c>
    </row>
    <row r="180" spans="1:18" ht="24" x14ac:dyDescent="0.25">
      <c r="A180" s="6" t="s">
        <v>176</v>
      </c>
      <c r="B180" s="2">
        <v>703</v>
      </c>
      <c r="C180" s="7">
        <v>43953</v>
      </c>
      <c r="D180" s="2" t="str">
        <f>"67"</f>
        <v>67</v>
      </c>
      <c r="E180" s="7">
        <v>43922</v>
      </c>
      <c r="F180" s="2">
        <v>0</v>
      </c>
      <c r="G180" s="2">
        <v>0</v>
      </c>
      <c r="H180" s="7">
        <v>43953</v>
      </c>
      <c r="I180" s="7">
        <v>43982</v>
      </c>
      <c r="J180" s="2" t="s">
        <v>19</v>
      </c>
      <c r="K180" s="9">
        <v>1269.99</v>
      </c>
      <c r="L180" s="2">
        <v>210.98</v>
      </c>
      <c r="M180" s="9">
        <v>1059.01</v>
      </c>
      <c r="N180" s="2">
        <v>-29</v>
      </c>
      <c r="O180" s="8">
        <f t="shared" si="2"/>
        <v>-30711.29</v>
      </c>
      <c r="P180" s="1" t="s">
        <v>20</v>
      </c>
      <c r="R180" s="1" t="s">
        <v>22</v>
      </c>
    </row>
    <row r="181" spans="1:18" x14ac:dyDescent="0.25">
      <c r="A181" s="6" t="s">
        <v>177</v>
      </c>
      <c r="B181" s="2">
        <v>907</v>
      </c>
      <c r="C181" s="7">
        <v>43980</v>
      </c>
      <c r="D181" s="2" t="s">
        <v>178</v>
      </c>
      <c r="E181" s="7">
        <v>43970</v>
      </c>
      <c r="F181" s="2">
        <v>0</v>
      </c>
      <c r="G181" s="2">
        <v>0</v>
      </c>
      <c r="H181" s="7">
        <v>43981</v>
      </c>
      <c r="I181" s="7">
        <v>44012</v>
      </c>
      <c r="J181" s="2" t="s">
        <v>19</v>
      </c>
      <c r="K181" s="9">
        <v>7618.36</v>
      </c>
      <c r="L181" s="9">
        <v>1373.8</v>
      </c>
      <c r="M181" s="9">
        <v>6244.56</v>
      </c>
      <c r="N181" s="2">
        <v>-31</v>
      </c>
      <c r="O181" s="8">
        <f t="shared" si="2"/>
        <v>-193581.36000000002</v>
      </c>
      <c r="P181" s="1" t="s">
        <v>20</v>
      </c>
      <c r="R181" s="1" t="s">
        <v>179</v>
      </c>
    </row>
    <row r="182" spans="1:18" x14ac:dyDescent="0.25">
      <c r="A182" s="6" t="s">
        <v>180</v>
      </c>
      <c r="B182" s="2">
        <v>918</v>
      </c>
      <c r="C182" s="7">
        <v>43980</v>
      </c>
      <c r="D182" s="2" t="s">
        <v>181</v>
      </c>
      <c r="E182" s="7">
        <v>43973</v>
      </c>
      <c r="F182" s="2">
        <v>0</v>
      </c>
      <c r="G182" s="2">
        <v>0</v>
      </c>
      <c r="H182" s="7">
        <v>43981</v>
      </c>
      <c r="I182" s="7">
        <v>44012</v>
      </c>
      <c r="J182" s="2" t="s">
        <v>19</v>
      </c>
      <c r="K182" s="2">
        <v>166.4</v>
      </c>
      <c r="L182" s="2">
        <v>0</v>
      </c>
      <c r="M182" s="2">
        <v>166.4</v>
      </c>
      <c r="N182" s="2">
        <v>-31</v>
      </c>
      <c r="O182" s="8">
        <f t="shared" si="2"/>
        <v>-5158.4000000000005</v>
      </c>
      <c r="P182" s="1" t="s">
        <v>20</v>
      </c>
      <c r="R182" s="1" t="s">
        <v>154</v>
      </c>
    </row>
    <row r="183" spans="1:18" ht="24" x14ac:dyDescent="0.25">
      <c r="A183" s="6" t="s">
        <v>182</v>
      </c>
      <c r="B183" s="2">
        <v>915</v>
      </c>
      <c r="C183" s="7">
        <v>43980</v>
      </c>
      <c r="D183" s="2" t="str">
        <f>"1010613356"</f>
        <v>1010613356</v>
      </c>
      <c r="E183" s="7">
        <v>43976</v>
      </c>
      <c r="F183" s="2">
        <v>0</v>
      </c>
      <c r="G183" s="2">
        <v>0</v>
      </c>
      <c r="H183" s="7">
        <v>43981</v>
      </c>
      <c r="I183" s="7">
        <v>44012</v>
      </c>
      <c r="J183" s="2" t="s">
        <v>19</v>
      </c>
      <c r="K183" s="2">
        <v>149.05000000000001</v>
      </c>
      <c r="L183" s="2">
        <v>26.88</v>
      </c>
      <c r="M183" s="2">
        <v>122.17</v>
      </c>
      <c r="N183" s="2">
        <v>-31</v>
      </c>
      <c r="O183" s="8">
        <f t="shared" si="2"/>
        <v>-3787.27</v>
      </c>
      <c r="P183" s="1" t="s">
        <v>20</v>
      </c>
      <c r="R183" s="1" t="s">
        <v>183</v>
      </c>
    </row>
    <row r="184" spans="1:18" ht="24" x14ac:dyDescent="0.25">
      <c r="A184" s="6" t="s">
        <v>182</v>
      </c>
      <c r="B184" s="2">
        <v>914</v>
      </c>
      <c r="C184" s="7">
        <v>43980</v>
      </c>
      <c r="D184" s="2" t="str">
        <f>"1010613650"</f>
        <v>1010613650</v>
      </c>
      <c r="E184" s="7">
        <v>43976</v>
      </c>
      <c r="F184" s="2">
        <v>0</v>
      </c>
      <c r="G184" s="2">
        <v>0</v>
      </c>
      <c r="H184" s="7">
        <v>43981</v>
      </c>
      <c r="I184" s="7">
        <v>44012</v>
      </c>
      <c r="J184" s="2" t="s">
        <v>19</v>
      </c>
      <c r="K184" s="2">
        <v>434.91</v>
      </c>
      <c r="L184" s="2">
        <v>78.430000000000007</v>
      </c>
      <c r="M184" s="2">
        <v>356.48</v>
      </c>
      <c r="N184" s="2">
        <v>-31</v>
      </c>
      <c r="O184" s="8">
        <f t="shared" si="2"/>
        <v>-11050.880000000001</v>
      </c>
      <c r="P184" s="1" t="s">
        <v>20</v>
      </c>
      <c r="R184" s="1" t="s">
        <v>183</v>
      </c>
    </row>
    <row r="185" spans="1:18" x14ac:dyDescent="0.25">
      <c r="A185" s="6" t="s">
        <v>123</v>
      </c>
      <c r="B185" s="2">
        <v>966</v>
      </c>
      <c r="C185" s="7">
        <v>43994</v>
      </c>
      <c r="D185" s="2" t="s">
        <v>184</v>
      </c>
      <c r="E185" s="7">
        <v>43982</v>
      </c>
      <c r="F185" s="2">
        <v>0</v>
      </c>
      <c r="G185" s="2">
        <v>0</v>
      </c>
      <c r="H185" s="7">
        <v>43994</v>
      </c>
      <c r="I185" s="7">
        <v>44025</v>
      </c>
      <c r="J185" s="2" t="s">
        <v>19</v>
      </c>
      <c r="K185" s="2">
        <v>616.95000000000005</v>
      </c>
      <c r="L185" s="2">
        <v>0</v>
      </c>
      <c r="M185" s="2">
        <v>616.95000000000005</v>
      </c>
      <c r="N185" s="2">
        <v>-31</v>
      </c>
      <c r="O185" s="8">
        <f t="shared" si="2"/>
        <v>-19125.45</v>
      </c>
      <c r="P185" s="1" t="s">
        <v>20</v>
      </c>
      <c r="R185" s="1" t="s">
        <v>125</v>
      </c>
    </row>
    <row r="186" spans="1:18" x14ac:dyDescent="0.25">
      <c r="A186" s="6" t="s">
        <v>185</v>
      </c>
      <c r="B186" s="2">
        <v>913</v>
      </c>
      <c r="C186" s="7">
        <v>43980</v>
      </c>
      <c r="D186" s="2" t="s">
        <v>186</v>
      </c>
      <c r="E186" s="7">
        <v>43972</v>
      </c>
      <c r="F186" s="2">
        <v>0</v>
      </c>
      <c r="G186" s="2">
        <v>0</v>
      </c>
      <c r="H186" s="7">
        <v>43981</v>
      </c>
      <c r="I186" s="7">
        <v>44012</v>
      </c>
      <c r="J186" s="2" t="s">
        <v>19</v>
      </c>
      <c r="K186" s="2">
        <v>878.4</v>
      </c>
      <c r="L186" s="2">
        <v>158.4</v>
      </c>
      <c r="M186" s="2">
        <v>720</v>
      </c>
      <c r="N186" s="2">
        <v>-31</v>
      </c>
      <c r="O186" s="8">
        <f t="shared" si="2"/>
        <v>-22320</v>
      </c>
      <c r="P186" s="1" t="s">
        <v>20</v>
      </c>
      <c r="R186" s="1" t="s">
        <v>21</v>
      </c>
    </row>
    <row r="187" spans="1:18" x14ac:dyDescent="0.25">
      <c r="A187" s="6" t="s">
        <v>133</v>
      </c>
      <c r="B187" s="2">
        <v>971</v>
      </c>
      <c r="C187" s="7">
        <v>43994</v>
      </c>
      <c r="D187" s="2" t="str">
        <f>"061109"</f>
        <v>061109</v>
      </c>
      <c r="E187" s="7">
        <v>43982</v>
      </c>
      <c r="F187" s="2">
        <v>0</v>
      </c>
      <c r="G187" s="2">
        <v>0</v>
      </c>
      <c r="H187" s="7">
        <v>43994</v>
      </c>
      <c r="I187" s="7">
        <v>44027</v>
      </c>
      <c r="J187" s="2" t="s">
        <v>19</v>
      </c>
      <c r="K187" s="2">
        <v>209.47</v>
      </c>
      <c r="L187" s="2">
        <v>37.770000000000003</v>
      </c>
      <c r="M187" s="2">
        <v>171.7</v>
      </c>
      <c r="N187" s="2">
        <v>-33</v>
      </c>
      <c r="O187" s="8">
        <f t="shared" si="2"/>
        <v>-5666.0999999999995</v>
      </c>
      <c r="P187" s="1" t="s">
        <v>20</v>
      </c>
      <c r="R187" s="1" t="s">
        <v>116</v>
      </c>
    </row>
    <row r="188" spans="1:18" x14ac:dyDescent="0.25">
      <c r="A188" s="6" t="s">
        <v>133</v>
      </c>
      <c r="B188" s="2">
        <v>974</v>
      </c>
      <c r="C188" s="7">
        <v>43994</v>
      </c>
      <c r="D188" s="2" t="str">
        <f>"061105"</f>
        <v>061105</v>
      </c>
      <c r="E188" s="7">
        <v>43982</v>
      </c>
      <c r="F188" s="2">
        <v>0</v>
      </c>
      <c r="G188" s="2">
        <v>0</v>
      </c>
      <c r="H188" s="7">
        <v>43994</v>
      </c>
      <c r="I188" s="7">
        <v>44027</v>
      </c>
      <c r="J188" s="2" t="s">
        <v>19</v>
      </c>
      <c r="K188" s="2">
        <v>76.59</v>
      </c>
      <c r="L188" s="2">
        <v>13.81</v>
      </c>
      <c r="M188" s="2">
        <v>62.78</v>
      </c>
      <c r="N188" s="2">
        <v>-33</v>
      </c>
      <c r="O188" s="8">
        <f t="shared" si="2"/>
        <v>-2071.7400000000002</v>
      </c>
      <c r="P188" s="1" t="s">
        <v>20</v>
      </c>
      <c r="R188" s="1" t="s">
        <v>116</v>
      </c>
    </row>
    <row r="189" spans="1:18" x14ac:dyDescent="0.25">
      <c r="A189" s="6" t="s">
        <v>133</v>
      </c>
      <c r="B189" s="2">
        <v>970</v>
      </c>
      <c r="C189" s="7">
        <v>43994</v>
      </c>
      <c r="D189" s="2" t="str">
        <f>"061104"</f>
        <v>061104</v>
      </c>
      <c r="E189" s="7">
        <v>43982</v>
      </c>
      <c r="F189" s="2">
        <v>0</v>
      </c>
      <c r="G189" s="2">
        <v>0</v>
      </c>
      <c r="H189" s="7">
        <v>43994</v>
      </c>
      <c r="I189" s="7">
        <v>44027</v>
      </c>
      <c r="J189" s="2" t="s">
        <v>19</v>
      </c>
      <c r="K189" s="2">
        <v>86.27</v>
      </c>
      <c r="L189" s="2">
        <v>15.56</v>
      </c>
      <c r="M189" s="2">
        <v>70.709999999999994</v>
      </c>
      <c r="N189" s="2">
        <v>-33</v>
      </c>
      <c r="O189" s="8">
        <f t="shared" si="2"/>
        <v>-2333.4299999999998</v>
      </c>
      <c r="P189" s="1" t="s">
        <v>20</v>
      </c>
      <c r="R189" s="1" t="s">
        <v>116</v>
      </c>
    </row>
    <row r="190" spans="1:18" x14ac:dyDescent="0.25">
      <c r="A190" s="6" t="s">
        <v>133</v>
      </c>
      <c r="B190" s="2">
        <v>969</v>
      </c>
      <c r="C190" s="7">
        <v>43994</v>
      </c>
      <c r="D190" s="2" t="str">
        <f>"061107"</f>
        <v>061107</v>
      </c>
      <c r="E190" s="7">
        <v>43982</v>
      </c>
      <c r="F190" s="2">
        <v>0</v>
      </c>
      <c r="G190" s="2">
        <v>0</v>
      </c>
      <c r="H190" s="7">
        <v>43994</v>
      </c>
      <c r="I190" s="7">
        <v>44027</v>
      </c>
      <c r="J190" s="2" t="s">
        <v>19</v>
      </c>
      <c r="K190" s="2">
        <v>435.33</v>
      </c>
      <c r="L190" s="2">
        <v>78.5</v>
      </c>
      <c r="M190" s="2">
        <v>356.83</v>
      </c>
      <c r="N190" s="2">
        <v>-33</v>
      </c>
      <c r="O190" s="8">
        <f t="shared" si="2"/>
        <v>-11775.39</v>
      </c>
      <c r="P190" s="1" t="s">
        <v>20</v>
      </c>
      <c r="R190" s="1" t="s">
        <v>116</v>
      </c>
    </row>
    <row r="191" spans="1:18" x14ac:dyDescent="0.25">
      <c r="A191" s="6" t="s">
        <v>133</v>
      </c>
      <c r="B191" s="2">
        <v>969</v>
      </c>
      <c r="C191" s="7">
        <v>43994</v>
      </c>
      <c r="D191" s="2" t="str">
        <f>"061102"</f>
        <v>061102</v>
      </c>
      <c r="E191" s="7">
        <v>43982</v>
      </c>
      <c r="F191" s="2">
        <v>0</v>
      </c>
      <c r="G191" s="2">
        <v>0</v>
      </c>
      <c r="H191" s="7">
        <v>43994</v>
      </c>
      <c r="I191" s="7">
        <v>44027</v>
      </c>
      <c r="J191" s="2" t="s">
        <v>19</v>
      </c>
      <c r="K191" s="2">
        <v>40.659999999999997</v>
      </c>
      <c r="L191" s="2">
        <v>7.33</v>
      </c>
      <c r="M191" s="2">
        <v>33.33</v>
      </c>
      <c r="N191" s="2">
        <v>-33</v>
      </c>
      <c r="O191" s="8">
        <f t="shared" si="2"/>
        <v>-1099.8899999999999</v>
      </c>
      <c r="P191" s="1" t="s">
        <v>20</v>
      </c>
      <c r="R191" s="1" t="s">
        <v>116</v>
      </c>
    </row>
    <row r="192" spans="1:18" x14ac:dyDescent="0.25">
      <c r="A192" s="6" t="s">
        <v>133</v>
      </c>
      <c r="B192" s="2">
        <v>972</v>
      </c>
      <c r="C192" s="7">
        <v>43994</v>
      </c>
      <c r="D192" s="2" t="str">
        <f>"061106"</f>
        <v>061106</v>
      </c>
      <c r="E192" s="7">
        <v>43982</v>
      </c>
      <c r="F192" s="2">
        <v>0</v>
      </c>
      <c r="G192" s="2">
        <v>0</v>
      </c>
      <c r="H192" s="7">
        <v>43994</v>
      </c>
      <c r="I192" s="7">
        <v>44027</v>
      </c>
      <c r="J192" s="2" t="s">
        <v>19</v>
      </c>
      <c r="K192" s="2">
        <v>76.930000000000007</v>
      </c>
      <c r="L192" s="2">
        <v>13.87</v>
      </c>
      <c r="M192" s="2">
        <v>63.06</v>
      </c>
      <c r="N192" s="2">
        <v>-33</v>
      </c>
      <c r="O192" s="8">
        <f t="shared" si="2"/>
        <v>-2080.98</v>
      </c>
      <c r="P192" s="1" t="s">
        <v>20</v>
      </c>
      <c r="R192" s="1" t="s">
        <v>116</v>
      </c>
    </row>
    <row r="193" spans="1:18" x14ac:dyDescent="0.25">
      <c r="A193" s="6" t="s">
        <v>133</v>
      </c>
      <c r="B193" s="2">
        <v>969</v>
      </c>
      <c r="C193" s="7">
        <v>43994</v>
      </c>
      <c r="D193" s="2" t="str">
        <f>"061108"</f>
        <v>061108</v>
      </c>
      <c r="E193" s="7">
        <v>43982</v>
      </c>
      <c r="F193" s="2">
        <v>0</v>
      </c>
      <c r="G193" s="2">
        <v>0</v>
      </c>
      <c r="H193" s="7">
        <v>43994</v>
      </c>
      <c r="I193" s="7">
        <v>44027</v>
      </c>
      <c r="J193" s="2" t="s">
        <v>19</v>
      </c>
      <c r="K193" s="2">
        <v>95.73</v>
      </c>
      <c r="L193" s="2">
        <v>17.260000000000002</v>
      </c>
      <c r="M193" s="2">
        <v>78.47</v>
      </c>
      <c r="N193" s="2">
        <v>-33</v>
      </c>
      <c r="O193" s="8">
        <f t="shared" si="2"/>
        <v>-2589.5099999999998</v>
      </c>
      <c r="P193" s="1" t="s">
        <v>20</v>
      </c>
      <c r="R193" s="1" t="s">
        <v>116</v>
      </c>
    </row>
    <row r="194" spans="1:18" x14ac:dyDescent="0.25">
      <c r="A194" s="6" t="s">
        <v>133</v>
      </c>
      <c r="B194" s="2">
        <v>973</v>
      </c>
      <c r="C194" s="7">
        <v>43994</v>
      </c>
      <c r="D194" s="2" t="str">
        <f>"061103"</f>
        <v>061103</v>
      </c>
      <c r="E194" s="7">
        <v>43982</v>
      </c>
      <c r="F194" s="2">
        <v>0</v>
      </c>
      <c r="G194" s="2">
        <v>0</v>
      </c>
      <c r="H194" s="7">
        <v>43994</v>
      </c>
      <c r="I194" s="7">
        <v>44027</v>
      </c>
      <c r="J194" s="2" t="s">
        <v>19</v>
      </c>
      <c r="K194" s="2">
        <v>79.58</v>
      </c>
      <c r="L194" s="2">
        <v>14.35</v>
      </c>
      <c r="M194" s="2">
        <v>65.23</v>
      </c>
      <c r="N194" s="2">
        <v>-33</v>
      </c>
      <c r="O194" s="8">
        <f t="shared" si="2"/>
        <v>-2152.59</v>
      </c>
      <c r="P194" s="1" t="s">
        <v>20</v>
      </c>
      <c r="R194" s="1" t="s">
        <v>116</v>
      </c>
    </row>
    <row r="195" spans="1:18" x14ac:dyDescent="0.25">
      <c r="A195" s="6" t="s">
        <v>141</v>
      </c>
      <c r="B195" s="2">
        <v>734</v>
      </c>
      <c r="C195" s="7">
        <v>43967</v>
      </c>
      <c r="D195" s="2" t="s">
        <v>187</v>
      </c>
      <c r="E195" s="7">
        <v>43941</v>
      </c>
      <c r="F195" s="2">
        <v>0</v>
      </c>
      <c r="G195" s="2">
        <v>0</v>
      </c>
      <c r="H195" s="7">
        <v>43967</v>
      </c>
      <c r="I195" s="7">
        <v>44002</v>
      </c>
      <c r="J195" s="2" t="s">
        <v>19</v>
      </c>
      <c r="K195" s="9">
        <v>7918.76</v>
      </c>
      <c r="L195" s="9">
        <v>1427.97</v>
      </c>
      <c r="M195" s="9">
        <v>6490.79</v>
      </c>
      <c r="N195" s="2">
        <v>-35</v>
      </c>
      <c r="O195" s="8">
        <f t="shared" ref="O195:O234" si="3">+M195*N195</f>
        <v>-227177.65</v>
      </c>
      <c r="P195" s="1" t="s">
        <v>20</v>
      </c>
      <c r="R195" s="1" t="s">
        <v>24</v>
      </c>
    </row>
    <row r="196" spans="1:18" x14ac:dyDescent="0.25">
      <c r="A196" s="6" t="s">
        <v>188</v>
      </c>
      <c r="B196" s="2">
        <v>683</v>
      </c>
      <c r="C196" s="7">
        <v>43945</v>
      </c>
      <c r="D196" s="2" t="s">
        <v>189</v>
      </c>
      <c r="E196" s="7">
        <v>43936</v>
      </c>
      <c r="F196" s="2">
        <v>0</v>
      </c>
      <c r="G196" s="2">
        <v>0</v>
      </c>
      <c r="H196" s="7">
        <v>43945</v>
      </c>
      <c r="I196" s="7">
        <v>43982</v>
      </c>
      <c r="J196" s="2" t="s">
        <v>19</v>
      </c>
      <c r="K196" s="2">
        <v>516.27</v>
      </c>
      <c r="L196" s="2">
        <v>93.1</v>
      </c>
      <c r="M196" s="2">
        <v>423.17</v>
      </c>
      <c r="N196" s="2">
        <v>-37</v>
      </c>
      <c r="O196" s="8">
        <f t="shared" si="3"/>
        <v>-15657.29</v>
      </c>
      <c r="P196" s="1" t="s">
        <v>20</v>
      </c>
      <c r="R196" s="1" t="s">
        <v>190</v>
      </c>
    </row>
    <row r="197" spans="1:18" ht="24" x14ac:dyDescent="0.25">
      <c r="A197" s="6" t="s">
        <v>191</v>
      </c>
      <c r="B197" s="2">
        <v>682</v>
      </c>
      <c r="C197" s="7">
        <v>43945</v>
      </c>
      <c r="D197" s="2" t="s">
        <v>192</v>
      </c>
      <c r="E197" s="7">
        <v>43941</v>
      </c>
      <c r="F197" s="2">
        <v>0</v>
      </c>
      <c r="G197" s="2">
        <v>0</v>
      </c>
      <c r="H197" s="7">
        <v>43945</v>
      </c>
      <c r="I197" s="7">
        <v>43982</v>
      </c>
      <c r="J197" s="2" t="s">
        <v>19</v>
      </c>
      <c r="K197" s="9">
        <v>1362.68</v>
      </c>
      <c r="L197" s="2">
        <v>123.88</v>
      </c>
      <c r="M197" s="9">
        <v>1238.8</v>
      </c>
      <c r="N197" s="2">
        <v>-37</v>
      </c>
      <c r="O197" s="8">
        <f t="shared" si="3"/>
        <v>-45835.6</v>
      </c>
      <c r="P197" s="1" t="s">
        <v>20</v>
      </c>
      <c r="R197" s="1" t="s">
        <v>193</v>
      </c>
    </row>
    <row r="198" spans="1:18" ht="24" x14ac:dyDescent="0.25">
      <c r="A198" s="6" t="s">
        <v>191</v>
      </c>
      <c r="B198" s="2">
        <v>682</v>
      </c>
      <c r="C198" s="7">
        <v>43945</v>
      </c>
      <c r="D198" s="2" t="s">
        <v>194</v>
      </c>
      <c r="E198" s="7">
        <v>43941</v>
      </c>
      <c r="F198" s="2">
        <v>0</v>
      </c>
      <c r="G198" s="2">
        <v>0</v>
      </c>
      <c r="H198" s="7">
        <v>43945</v>
      </c>
      <c r="I198" s="7">
        <v>43982</v>
      </c>
      <c r="J198" s="2" t="s">
        <v>19</v>
      </c>
      <c r="K198" s="9">
        <v>7527.52</v>
      </c>
      <c r="L198" s="2">
        <v>0</v>
      </c>
      <c r="M198" s="9">
        <v>7527.52</v>
      </c>
      <c r="N198" s="2">
        <v>-37</v>
      </c>
      <c r="O198" s="8">
        <f t="shared" si="3"/>
        <v>-278518.24</v>
      </c>
      <c r="P198" s="1" t="s">
        <v>20</v>
      </c>
      <c r="R198" s="1" t="s">
        <v>193</v>
      </c>
    </row>
    <row r="199" spans="1:18" ht="24" x14ac:dyDescent="0.25">
      <c r="A199" s="6" t="s">
        <v>195</v>
      </c>
      <c r="B199" s="2">
        <v>895</v>
      </c>
      <c r="C199" s="7">
        <v>43973</v>
      </c>
      <c r="D199" s="2" t="str">
        <f>"2"</f>
        <v>2</v>
      </c>
      <c r="E199" s="7">
        <v>43964</v>
      </c>
      <c r="F199" s="2">
        <v>0</v>
      </c>
      <c r="G199" s="2">
        <v>0</v>
      </c>
      <c r="H199" s="7">
        <v>43973</v>
      </c>
      <c r="I199" s="7">
        <v>44012</v>
      </c>
      <c r="J199" s="2" t="s">
        <v>19</v>
      </c>
      <c r="K199" s="2">
        <v>146.4</v>
      </c>
      <c r="L199" s="2">
        <v>26.4</v>
      </c>
      <c r="M199" s="2">
        <v>120</v>
      </c>
      <c r="N199" s="2">
        <v>-39</v>
      </c>
      <c r="O199" s="8">
        <f t="shared" si="3"/>
        <v>-4680</v>
      </c>
      <c r="P199" s="1" t="s">
        <v>20</v>
      </c>
      <c r="R199" s="1" t="s">
        <v>21</v>
      </c>
    </row>
    <row r="200" spans="1:18" ht="24" x14ac:dyDescent="0.25">
      <c r="A200" s="6" t="s">
        <v>196</v>
      </c>
      <c r="B200" s="2">
        <v>717</v>
      </c>
      <c r="C200" s="7">
        <v>43953</v>
      </c>
      <c r="D200" s="10">
        <v>46447</v>
      </c>
      <c r="E200" s="7">
        <v>43921</v>
      </c>
      <c r="F200" s="2">
        <v>0</v>
      </c>
      <c r="G200" s="2">
        <v>0</v>
      </c>
      <c r="H200" s="7">
        <v>43953</v>
      </c>
      <c r="I200" s="7">
        <v>43993</v>
      </c>
      <c r="J200" s="2" t="s">
        <v>19</v>
      </c>
      <c r="K200" s="9">
        <v>2914</v>
      </c>
      <c r="L200" s="2">
        <v>0</v>
      </c>
      <c r="M200" s="9">
        <v>2914</v>
      </c>
      <c r="N200" s="2">
        <v>-40</v>
      </c>
      <c r="O200" s="8">
        <f t="shared" si="3"/>
        <v>-116560</v>
      </c>
      <c r="P200" s="1" t="s">
        <v>20</v>
      </c>
      <c r="R200" s="1" t="s">
        <v>197</v>
      </c>
    </row>
    <row r="201" spans="1:18" x14ac:dyDescent="0.25">
      <c r="A201" s="6" t="s">
        <v>180</v>
      </c>
      <c r="B201" s="2">
        <v>1074</v>
      </c>
      <c r="C201" s="7">
        <v>44002</v>
      </c>
      <c r="D201" s="2" t="s">
        <v>198</v>
      </c>
      <c r="E201" s="7">
        <v>43987</v>
      </c>
      <c r="F201" s="2">
        <v>0</v>
      </c>
      <c r="G201" s="2">
        <v>0</v>
      </c>
      <c r="H201" s="7">
        <v>44002</v>
      </c>
      <c r="I201" s="7">
        <v>44043</v>
      </c>
      <c r="J201" s="2" t="s">
        <v>19</v>
      </c>
      <c r="K201" s="9">
        <v>1395.68</v>
      </c>
      <c r="L201" s="2">
        <v>251.68</v>
      </c>
      <c r="M201" s="9">
        <v>1144</v>
      </c>
      <c r="N201" s="2">
        <v>-41</v>
      </c>
      <c r="O201" s="8">
        <f t="shared" si="3"/>
        <v>-46904</v>
      </c>
      <c r="P201" s="1" t="s">
        <v>20</v>
      </c>
      <c r="R201" s="1" t="s">
        <v>47</v>
      </c>
    </row>
    <row r="202" spans="1:18" x14ac:dyDescent="0.25">
      <c r="A202" s="6" t="s">
        <v>199</v>
      </c>
      <c r="B202" s="2">
        <v>1075</v>
      </c>
      <c r="C202" s="7">
        <v>44002</v>
      </c>
      <c r="D202" s="2" t="s">
        <v>200</v>
      </c>
      <c r="E202" s="7">
        <v>43990</v>
      </c>
      <c r="F202" s="2">
        <v>0</v>
      </c>
      <c r="G202" s="2">
        <v>0</v>
      </c>
      <c r="H202" s="7">
        <v>44002</v>
      </c>
      <c r="I202" s="7">
        <v>44043</v>
      </c>
      <c r="J202" s="2" t="s">
        <v>19</v>
      </c>
      <c r="K202" s="2">
        <v>299.51</v>
      </c>
      <c r="L202" s="2">
        <v>54.01</v>
      </c>
      <c r="M202" s="2">
        <v>245.5</v>
      </c>
      <c r="N202" s="2">
        <v>-41</v>
      </c>
      <c r="O202" s="8">
        <f t="shared" si="3"/>
        <v>-10065.5</v>
      </c>
      <c r="P202" s="1" t="s">
        <v>20</v>
      </c>
      <c r="R202" s="1" t="s">
        <v>116</v>
      </c>
    </row>
    <row r="203" spans="1:18" ht="24" x14ac:dyDescent="0.25">
      <c r="A203" s="6" t="s">
        <v>201</v>
      </c>
      <c r="B203" s="2">
        <v>1073</v>
      </c>
      <c r="C203" s="7">
        <v>44002</v>
      </c>
      <c r="D203" s="2" t="s">
        <v>202</v>
      </c>
      <c r="E203" s="7">
        <v>43995</v>
      </c>
      <c r="F203" s="2">
        <v>0</v>
      </c>
      <c r="G203" s="2">
        <v>0</v>
      </c>
      <c r="H203" s="7">
        <v>44002</v>
      </c>
      <c r="I203" s="7">
        <v>44043</v>
      </c>
      <c r="J203" s="2" t="s">
        <v>19</v>
      </c>
      <c r="K203" s="2">
        <v>183</v>
      </c>
      <c r="L203" s="2">
        <v>16.64</v>
      </c>
      <c r="M203" s="2">
        <v>166.36</v>
      </c>
      <c r="N203" s="2">
        <v>-41</v>
      </c>
      <c r="O203" s="8">
        <f t="shared" si="3"/>
        <v>-6820.76</v>
      </c>
      <c r="P203" s="1" t="s">
        <v>20</v>
      </c>
      <c r="R203" s="1" t="s">
        <v>203</v>
      </c>
    </row>
    <row r="204" spans="1:18" x14ac:dyDescent="0.25">
      <c r="A204" s="6" t="s">
        <v>106</v>
      </c>
      <c r="B204" s="2">
        <v>573</v>
      </c>
      <c r="C204" s="7">
        <v>43939</v>
      </c>
      <c r="D204" s="2" t="str">
        <f>"0002115132"</f>
        <v>0002115132</v>
      </c>
      <c r="E204" s="7">
        <v>43921</v>
      </c>
      <c r="F204" s="2">
        <v>0</v>
      </c>
      <c r="G204" s="2">
        <v>0</v>
      </c>
      <c r="H204" s="7">
        <v>43939</v>
      </c>
      <c r="I204" s="7">
        <v>43982</v>
      </c>
      <c r="J204" s="2" t="s">
        <v>19</v>
      </c>
      <c r="K204" s="2">
        <v>368.44</v>
      </c>
      <c r="L204" s="2">
        <v>66.44</v>
      </c>
      <c r="M204" s="2">
        <v>302</v>
      </c>
      <c r="N204" s="2">
        <v>-43</v>
      </c>
      <c r="O204" s="8">
        <f t="shared" si="3"/>
        <v>-12986</v>
      </c>
      <c r="P204" s="1" t="s">
        <v>20</v>
      </c>
      <c r="R204" s="1" t="s">
        <v>107</v>
      </c>
    </row>
    <row r="205" spans="1:18" x14ac:dyDescent="0.25">
      <c r="A205" s="6" t="s">
        <v>106</v>
      </c>
      <c r="B205" s="2">
        <v>573</v>
      </c>
      <c r="C205" s="7">
        <v>43939</v>
      </c>
      <c r="D205" s="2" t="str">
        <f>"0002114803"</f>
        <v>0002114803</v>
      </c>
      <c r="E205" s="7">
        <v>43921</v>
      </c>
      <c r="F205" s="2">
        <v>0</v>
      </c>
      <c r="G205" s="2">
        <v>0</v>
      </c>
      <c r="H205" s="7">
        <v>43939</v>
      </c>
      <c r="I205" s="7">
        <v>43982</v>
      </c>
      <c r="J205" s="2" t="s">
        <v>19</v>
      </c>
      <c r="K205" s="2">
        <v>631.35</v>
      </c>
      <c r="L205" s="2">
        <v>113.85</v>
      </c>
      <c r="M205" s="2">
        <v>517.5</v>
      </c>
      <c r="N205" s="2">
        <v>-43</v>
      </c>
      <c r="O205" s="8">
        <f t="shared" si="3"/>
        <v>-22252.5</v>
      </c>
      <c r="P205" s="1" t="s">
        <v>20</v>
      </c>
      <c r="R205" s="1" t="s">
        <v>107</v>
      </c>
    </row>
    <row r="206" spans="1:18" x14ac:dyDescent="0.25">
      <c r="A206" s="6" t="s">
        <v>204</v>
      </c>
      <c r="B206" s="2">
        <v>568</v>
      </c>
      <c r="C206" s="7">
        <v>43938</v>
      </c>
      <c r="D206" s="2" t="s">
        <v>205</v>
      </c>
      <c r="E206" s="7">
        <v>43930</v>
      </c>
      <c r="F206" s="2">
        <v>0</v>
      </c>
      <c r="G206" s="2">
        <v>0</v>
      </c>
      <c r="H206" s="7">
        <v>43939</v>
      </c>
      <c r="I206" s="7">
        <v>43982</v>
      </c>
      <c r="J206" s="2" t="s">
        <v>19</v>
      </c>
      <c r="K206" s="9">
        <v>3525.8</v>
      </c>
      <c r="L206" s="2">
        <v>635.79999999999995</v>
      </c>
      <c r="M206" s="9">
        <v>2890</v>
      </c>
      <c r="N206" s="2">
        <v>-43</v>
      </c>
      <c r="O206" s="8">
        <f t="shared" si="3"/>
        <v>-124270</v>
      </c>
      <c r="P206" s="1" t="s">
        <v>20</v>
      </c>
      <c r="R206" s="1" t="s">
        <v>154</v>
      </c>
    </row>
    <row r="207" spans="1:18" x14ac:dyDescent="0.25">
      <c r="A207" s="6" t="s">
        <v>44</v>
      </c>
      <c r="B207" s="2">
        <v>1083</v>
      </c>
      <c r="C207" s="7">
        <v>44009</v>
      </c>
      <c r="D207" s="2" t="str">
        <f>"20114"</f>
        <v>20114</v>
      </c>
      <c r="E207" s="7">
        <v>43993</v>
      </c>
      <c r="F207" s="2">
        <v>0</v>
      </c>
      <c r="G207" s="2">
        <v>0</v>
      </c>
      <c r="H207" s="7">
        <v>44009</v>
      </c>
      <c r="I207" s="7">
        <v>44053</v>
      </c>
      <c r="J207" s="2" t="s">
        <v>19</v>
      </c>
      <c r="K207" s="9">
        <v>2092.56</v>
      </c>
      <c r="L207" s="2">
        <v>377.35</v>
      </c>
      <c r="M207" s="9">
        <v>1715.21</v>
      </c>
      <c r="N207" s="2">
        <v>-44</v>
      </c>
      <c r="O207" s="8">
        <f t="shared" si="3"/>
        <v>-75469.240000000005</v>
      </c>
      <c r="P207" s="1" t="s">
        <v>20</v>
      </c>
      <c r="R207" s="1" t="s">
        <v>45</v>
      </c>
    </row>
    <row r="208" spans="1:18" x14ac:dyDescent="0.25">
      <c r="A208" s="6" t="s">
        <v>106</v>
      </c>
      <c r="B208" s="2">
        <v>748</v>
      </c>
      <c r="C208" s="7">
        <v>43967</v>
      </c>
      <c r="D208" s="2" t="str">
        <f>"0002117755"</f>
        <v>0002117755</v>
      </c>
      <c r="E208" s="7">
        <v>43951</v>
      </c>
      <c r="F208" s="2">
        <v>0</v>
      </c>
      <c r="G208" s="2">
        <v>0</v>
      </c>
      <c r="H208" s="7">
        <v>43967</v>
      </c>
      <c r="I208" s="7">
        <v>44012</v>
      </c>
      <c r="J208" s="2" t="s">
        <v>19</v>
      </c>
      <c r="K208" s="2">
        <v>301.95</v>
      </c>
      <c r="L208" s="2">
        <v>54.45</v>
      </c>
      <c r="M208" s="2">
        <v>247.5</v>
      </c>
      <c r="N208" s="2">
        <v>-45</v>
      </c>
      <c r="O208" s="8">
        <f t="shared" si="3"/>
        <v>-11137.5</v>
      </c>
      <c r="P208" s="1" t="s">
        <v>20</v>
      </c>
      <c r="R208" s="1" t="s">
        <v>107</v>
      </c>
    </row>
    <row r="209" spans="1:18" x14ac:dyDescent="0.25">
      <c r="A209" s="6" t="s">
        <v>106</v>
      </c>
      <c r="B209" s="2">
        <v>747</v>
      </c>
      <c r="C209" s="7">
        <v>43967</v>
      </c>
      <c r="D209" s="2" t="str">
        <f>"0002118018"</f>
        <v>0002118018</v>
      </c>
      <c r="E209" s="7">
        <v>43951</v>
      </c>
      <c r="F209" s="2">
        <v>0</v>
      </c>
      <c r="G209" s="2">
        <v>0</v>
      </c>
      <c r="H209" s="7">
        <v>43967</v>
      </c>
      <c r="I209" s="7">
        <v>44012</v>
      </c>
      <c r="J209" s="2" t="s">
        <v>19</v>
      </c>
      <c r="K209" s="2">
        <v>264.13</v>
      </c>
      <c r="L209" s="2">
        <v>47.63</v>
      </c>
      <c r="M209" s="2">
        <v>216.5</v>
      </c>
      <c r="N209" s="2">
        <v>-45</v>
      </c>
      <c r="O209" s="8">
        <f t="shared" si="3"/>
        <v>-9742.5</v>
      </c>
      <c r="P209" s="1" t="s">
        <v>20</v>
      </c>
      <c r="R209" s="1" t="s">
        <v>107</v>
      </c>
    </row>
    <row r="210" spans="1:18" x14ac:dyDescent="0.25">
      <c r="A210" s="6" t="s">
        <v>206</v>
      </c>
      <c r="B210" s="2">
        <v>736</v>
      </c>
      <c r="C210" s="7">
        <v>43967</v>
      </c>
      <c r="D210" s="2" t="s">
        <v>207</v>
      </c>
      <c r="E210" s="7">
        <v>43951</v>
      </c>
      <c r="F210" s="2">
        <v>0</v>
      </c>
      <c r="G210" s="2">
        <v>0</v>
      </c>
      <c r="H210" s="7">
        <v>43967</v>
      </c>
      <c r="I210" s="7">
        <v>44012</v>
      </c>
      <c r="J210" s="2" t="s">
        <v>19</v>
      </c>
      <c r="K210" s="9">
        <v>1392.02</v>
      </c>
      <c r="L210" s="2">
        <v>251.02</v>
      </c>
      <c r="M210" s="9">
        <v>1141</v>
      </c>
      <c r="N210" s="2">
        <v>-45</v>
      </c>
      <c r="O210" s="8">
        <f t="shared" si="3"/>
        <v>-51345</v>
      </c>
      <c r="P210" s="1" t="s">
        <v>20</v>
      </c>
      <c r="R210" s="1" t="s">
        <v>208</v>
      </c>
    </row>
    <row r="211" spans="1:18" x14ac:dyDescent="0.25">
      <c r="A211" s="6" t="s">
        <v>83</v>
      </c>
      <c r="B211" s="2">
        <v>735</v>
      </c>
      <c r="C211" s="7">
        <v>43967</v>
      </c>
      <c r="D211" s="2" t="s">
        <v>209</v>
      </c>
      <c r="E211" s="7">
        <v>43956</v>
      </c>
      <c r="F211" s="2">
        <v>0</v>
      </c>
      <c r="G211" s="2">
        <v>0</v>
      </c>
      <c r="H211" s="7">
        <v>43967</v>
      </c>
      <c r="I211" s="7">
        <v>44012</v>
      </c>
      <c r="J211" s="2" t="s">
        <v>19</v>
      </c>
      <c r="K211" s="9">
        <v>1180.76</v>
      </c>
      <c r="L211" s="2">
        <v>25.51</v>
      </c>
      <c r="M211" s="9">
        <v>1155.25</v>
      </c>
      <c r="N211" s="2">
        <v>-45</v>
      </c>
      <c r="O211" s="8">
        <f t="shared" si="3"/>
        <v>-51986.25</v>
      </c>
      <c r="P211" s="1" t="s">
        <v>20</v>
      </c>
      <c r="R211" s="1" t="s">
        <v>85</v>
      </c>
    </row>
    <row r="212" spans="1:18" x14ac:dyDescent="0.25">
      <c r="A212" s="6" t="s">
        <v>83</v>
      </c>
      <c r="B212" s="2">
        <v>735</v>
      </c>
      <c r="C212" s="7">
        <v>43967</v>
      </c>
      <c r="D212" s="2" t="s">
        <v>210</v>
      </c>
      <c r="E212" s="7">
        <v>43956</v>
      </c>
      <c r="F212" s="2">
        <v>0</v>
      </c>
      <c r="G212" s="2">
        <v>0</v>
      </c>
      <c r="H212" s="7">
        <v>43967</v>
      </c>
      <c r="I212" s="7">
        <v>44012</v>
      </c>
      <c r="J212" s="2" t="s">
        <v>19</v>
      </c>
      <c r="K212" s="2">
        <v>145.66</v>
      </c>
      <c r="L212" s="2">
        <v>3.11</v>
      </c>
      <c r="M212" s="2">
        <v>142.55000000000001</v>
      </c>
      <c r="N212" s="2">
        <v>-45</v>
      </c>
      <c r="O212" s="8">
        <f t="shared" si="3"/>
        <v>-6414.7500000000009</v>
      </c>
      <c r="P212" s="1" t="s">
        <v>20</v>
      </c>
      <c r="R212" s="1" t="s">
        <v>85</v>
      </c>
    </row>
    <row r="213" spans="1:18" x14ac:dyDescent="0.25">
      <c r="A213" s="6" t="s">
        <v>180</v>
      </c>
      <c r="B213" s="2">
        <v>745</v>
      </c>
      <c r="C213" s="7">
        <v>43967</v>
      </c>
      <c r="D213" s="11">
        <v>44111</v>
      </c>
      <c r="E213" s="7">
        <v>43956</v>
      </c>
      <c r="F213" s="2">
        <v>0</v>
      </c>
      <c r="G213" s="2">
        <v>0</v>
      </c>
      <c r="H213" s="7">
        <v>43967</v>
      </c>
      <c r="I213" s="7">
        <v>44012</v>
      </c>
      <c r="J213" s="2" t="s">
        <v>19</v>
      </c>
      <c r="K213" s="2">
        <v>176.8</v>
      </c>
      <c r="L213" s="2">
        <v>0</v>
      </c>
      <c r="M213" s="2">
        <v>176.8</v>
      </c>
      <c r="N213" s="2">
        <v>-45</v>
      </c>
      <c r="O213" s="8">
        <f t="shared" si="3"/>
        <v>-7956.0000000000009</v>
      </c>
      <c r="P213" s="1" t="s">
        <v>20</v>
      </c>
      <c r="R213" s="1" t="s">
        <v>208</v>
      </c>
    </row>
    <row r="214" spans="1:18" x14ac:dyDescent="0.25">
      <c r="A214" s="6" t="s">
        <v>44</v>
      </c>
      <c r="B214" s="2">
        <v>727</v>
      </c>
      <c r="C214" s="7">
        <v>43960</v>
      </c>
      <c r="D214" s="2" t="str">
        <f>"20084"</f>
        <v>20084</v>
      </c>
      <c r="E214" s="7">
        <v>43949</v>
      </c>
      <c r="F214" s="2">
        <v>0</v>
      </c>
      <c r="G214" s="2">
        <v>0</v>
      </c>
      <c r="H214" s="7">
        <v>43960</v>
      </c>
      <c r="I214" s="7">
        <v>44009</v>
      </c>
      <c r="J214" s="2" t="s">
        <v>19</v>
      </c>
      <c r="K214" s="9">
        <v>2529.83</v>
      </c>
      <c r="L214" s="2">
        <v>456.2</v>
      </c>
      <c r="M214" s="9">
        <v>2073.63</v>
      </c>
      <c r="N214" s="2">
        <v>-49</v>
      </c>
      <c r="O214" s="8">
        <f t="shared" si="3"/>
        <v>-101607.87000000001</v>
      </c>
      <c r="P214" s="1" t="s">
        <v>20</v>
      </c>
      <c r="R214" s="1" t="s">
        <v>45</v>
      </c>
    </row>
    <row r="215" spans="1:18" x14ac:dyDescent="0.25">
      <c r="A215" s="6" t="s">
        <v>44</v>
      </c>
      <c r="B215" s="2">
        <v>728</v>
      </c>
      <c r="C215" s="7">
        <v>43960</v>
      </c>
      <c r="D215" s="2" t="str">
        <f>"20085"</f>
        <v>20085</v>
      </c>
      <c r="E215" s="7">
        <v>43949</v>
      </c>
      <c r="F215" s="2">
        <v>0</v>
      </c>
      <c r="G215" s="2">
        <v>0</v>
      </c>
      <c r="H215" s="7">
        <v>43960</v>
      </c>
      <c r="I215" s="7">
        <v>44009</v>
      </c>
      <c r="J215" s="2" t="s">
        <v>19</v>
      </c>
      <c r="K215" s="2">
        <v>284.16000000000003</v>
      </c>
      <c r="L215" s="2">
        <v>51.24</v>
      </c>
      <c r="M215" s="2">
        <v>232.92</v>
      </c>
      <c r="N215" s="2">
        <v>-49</v>
      </c>
      <c r="O215" s="8">
        <f t="shared" si="3"/>
        <v>-11413.08</v>
      </c>
      <c r="P215" s="1" t="s">
        <v>20</v>
      </c>
      <c r="R215" s="1" t="s">
        <v>45</v>
      </c>
    </row>
    <row r="216" spans="1:18" x14ac:dyDescent="0.25">
      <c r="A216" s="6" t="s">
        <v>106</v>
      </c>
      <c r="B216" s="2">
        <v>968</v>
      </c>
      <c r="C216" s="7">
        <v>43994</v>
      </c>
      <c r="D216" s="2" t="str">
        <f>"0001133736"</f>
        <v>0001133736</v>
      </c>
      <c r="E216" s="7">
        <v>43982</v>
      </c>
      <c r="F216" s="2">
        <v>0</v>
      </c>
      <c r="G216" s="2">
        <v>0</v>
      </c>
      <c r="H216" s="7">
        <v>43994</v>
      </c>
      <c r="I216" s="7">
        <v>44043</v>
      </c>
      <c r="J216" s="2" t="s">
        <v>19</v>
      </c>
      <c r="K216" s="2">
        <v>893</v>
      </c>
      <c r="L216" s="2">
        <v>0</v>
      </c>
      <c r="M216" s="2">
        <v>893</v>
      </c>
      <c r="N216" s="2">
        <v>-49</v>
      </c>
      <c r="O216" s="8">
        <f t="shared" si="3"/>
        <v>-43757</v>
      </c>
      <c r="P216" s="1" t="s">
        <v>20</v>
      </c>
      <c r="R216" s="1" t="s">
        <v>107</v>
      </c>
    </row>
    <row r="217" spans="1:18" x14ac:dyDescent="0.25">
      <c r="A217" s="6" t="s">
        <v>106</v>
      </c>
      <c r="B217" s="2">
        <v>967</v>
      </c>
      <c r="C217" s="7">
        <v>43994</v>
      </c>
      <c r="D217" s="2" t="str">
        <f>"0002121066"</f>
        <v>0002121066</v>
      </c>
      <c r="E217" s="7">
        <v>43982</v>
      </c>
      <c r="F217" s="2">
        <v>0</v>
      </c>
      <c r="G217" s="2">
        <v>0</v>
      </c>
      <c r="H217" s="7">
        <v>43994</v>
      </c>
      <c r="I217" s="7">
        <v>44043</v>
      </c>
      <c r="J217" s="2" t="s">
        <v>19</v>
      </c>
      <c r="K217" s="2">
        <v>657.52</v>
      </c>
      <c r="L217" s="2">
        <v>118.57</v>
      </c>
      <c r="M217" s="2">
        <v>538.95000000000005</v>
      </c>
      <c r="N217" s="2">
        <v>-49</v>
      </c>
      <c r="O217" s="8">
        <f t="shared" si="3"/>
        <v>-26408.550000000003</v>
      </c>
      <c r="P217" s="1" t="s">
        <v>20</v>
      </c>
      <c r="R217" s="1" t="s">
        <v>107</v>
      </c>
    </row>
    <row r="218" spans="1:18" x14ac:dyDescent="0.25">
      <c r="A218" s="6" t="s">
        <v>106</v>
      </c>
      <c r="B218" s="2">
        <v>967</v>
      </c>
      <c r="C218" s="7">
        <v>43994</v>
      </c>
      <c r="D218" s="2" t="str">
        <f>"0002120753"</f>
        <v>0002120753</v>
      </c>
      <c r="E218" s="7">
        <v>43982</v>
      </c>
      <c r="F218" s="2">
        <v>0</v>
      </c>
      <c r="G218" s="2">
        <v>0</v>
      </c>
      <c r="H218" s="7">
        <v>43994</v>
      </c>
      <c r="I218" s="7">
        <v>44043</v>
      </c>
      <c r="J218" s="2" t="s">
        <v>19</v>
      </c>
      <c r="K218" s="2">
        <v>458.72</v>
      </c>
      <c r="L218" s="2">
        <v>82.72</v>
      </c>
      <c r="M218" s="2">
        <v>376</v>
      </c>
      <c r="N218" s="2">
        <v>-49</v>
      </c>
      <c r="O218" s="8">
        <f t="shared" si="3"/>
        <v>-18424</v>
      </c>
      <c r="P218" s="1" t="s">
        <v>20</v>
      </c>
      <c r="R218" s="1" t="s">
        <v>107</v>
      </c>
    </row>
    <row r="219" spans="1:18" x14ac:dyDescent="0.25">
      <c r="A219" s="6" t="s">
        <v>206</v>
      </c>
      <c r="B219" s="2">
        <v>963</v>
      </c>
      <c r="C219" s="7">
        <v>43994</v>
      </c>
      <c r="D219" s="2" t="s">
        <v>211</v>
      </c>
      <c r="E219" s="7">
        <v>43980</v>
      </c>
      <c r="F219" s="2">
        <v>0</v>
      </c>
      <c r="G219" s="2">
        <v>0</v>
      </c>
      <c r="H219" s="7">
        <v>43994</v>
      </c>
      <c r="I219" s="7">
        <v>44043</v>
      </c>
      <c r="J219" s="2" t="s">
        <v>19</v>
      </c>
      <c r="K219" s="9">
        <v>1392.02</v>
      </c>
      <c r="L219" s="2">
        <v>251.02</v>
      </c>
      <c r="M219" s="9">
        <v>1141</v>
      </c>
      <c r="N219" s="2">
        <v>-49</v>
      </c>
      <c r="O219" s="8">
        <f t="shared" si="3"/>
        <v>-55909</v>
      </c>
      <c r="P219" s="1" t="s">
        <v>20</v>
      </c>
      <c r="R219" s="1" t="s">
        <v>208</v>
      </c>
    </row>
    <row r="220" spans="1:18" x14ac:dyDescent="0.25">
      <c r="A220" s="6" t="s">
        <v>212</v>
      </c>
      <c r="B220" s="2">
        <v>898</v>
      </c>
      <c r="C220" s="7">
        <v>43973</v>
      </c>
      <c r="D220" s="2" t="s">
        <v>213</v>
      </c>
      <c r="E220" s="7">
        <v>43970</v>
      </c>
      <c r="F220" s="2">
        <v>0</v>
      </c>
      <c r="G220" s="2">
        <v>0</v>
      </c>
      <c r="H220" s="7">
        <v>43973</v>
      </c>
      <c r="I220" s="7">
        <v>44022</v>
      </c>
      <c r="J220" s="2" t="s">
        <v>19</v>
      </c>
      <c r="K220" s="2">
        <v>793</v>
      </c>
      <c r="L220" s="2">
        <v>143</v>
      </c>
      <c r="M220" s="2">
        <v>650</v>
      </c>
      <c r="N220" s="2">
        <v>-49</v>
      </c>
      <c r="O220" s="8">
        <f t="shared" si="3"/>
        <v>-31850</v>
      </c>
      <c r="P220" s="1" t="s">
        <v>20</v>
      </c>
      <c r="R220" s="1" t="s">
        <v>31</v>
      </c>
    </row>
    <row r="221" spans="1:18" ht="24" x14ac:dyDescent="0.25">
      <c r="A221" s="6" t="s">
        <v>214</v>
      </c>
      <c r="B221" s="2">
        <v>975</v>
      </c>
      <c r="C221" s="7">
        <v>43994</v>
      </c>
      <c r="D221" s="2" t="s">
        <v>215</v>
      </c>
      <c r="E221" s="7">
        <v>43983</v>
      </c>
      <c r="F221" s="2">
        <v>0</v>
      </c>
      <c r="G221" s="2">
        <v>0</v>
      </c>
      <c r="H221" s="7">
        <v>43994</v>
      </c>
      <c r="I221" s="7">
        <v>44044</v>
      </c>
      <c r="J221" s="2" t="s">
        <v>19</v>
      </c>
      <c r="K221" s="2">
        <v>855</v>
      </c>
      <c r="L221" s="2">
        <v>0</v>
      </c>
      <c r="M221" s="2">
        <v>855</v>
      </c>
      <c r="N221" s="2">
        <v>-50</v>
      </c>
      <c r="O221" s="8">
        <f t="shared" si="3"/>
        <v>-42750</v>
      </c>
      <c r="P221" s="1" t="s">
        <v>20</v>
      </c>
      <c r="R221" s="1" t="s">
        <v>216</v>
      </c>
    </row>
    <row r="222" spans="1:18" ht="24" x14ac:dyDescent="0.25">
      <c r="A222" s="6" t="s">
        <v>217</v>
      </c>
      <c r="B222" s="2">
        <v>908</v>
      </c>
      <c r="C222" s="7">
        <v>43980</v>
      </c>
      <c r="D222" s="2" t="s">
        <v>218</v>
      </c>
      <c r="E222" s="7">
        <v>43970</v>
      </c>
      <c r="F222" s="2">
        <v>0</v>
      </c>
      <c r="G222" s="2">
        <v>0</v>
      </c>
      <c r="H222" s="7">
        <v>43981</v>
      </c>
      <c r="I222" s="7">
        <v>44031</v>
      </c>
      <c r="J222" s="2" t="s">
        <v>19</v>
      </c>
      <c r="K222" s="9">
        <v>1500</v>
      </c>
      <c r="L222" s="2">
        <v>71.430000000000007</v>
      </c>
      <c r="M222" s="9">
        <v>1428.57</v>
      </c>
      <c r="N222" s="2">
        <v>-50</v>
      </c>
      <c r="O222" s="8">
        <f t="shared" si="3"/>
        <v>-71428.5</v>
      </c>
      <c r="P222" s="1" t="s">
        <v>20</v>
      </c>
      <c r="R222" s="1" t="s">
        <v>219</v>
      </c>
    </row>
    <row r="223" spans="1:18" x14ac:dyDescent="0.25">
      <c r="A223" s="6" t="s">
        <v>206</v>
      </c>
      <c r="B223" s="2">
        <v>560</v>
      </c>
      <c r="C223" s="7">
        <v>43931</v>
      </c>
      <c r="D223" s="2" t="s">
        <v>220</v>
      </c>
      <c r="E223" s="7">
        <v>43921</v>
      </c>
      <c r="F223" s="2">
        <v>0</v>
      </c>
      <c r="G223" s="2">
        <v>0</v>
      </c>
      <c r="H223" s="7">
        <v>43931</v>
      </c>
      <c r="I223" s="7">
        <v>43982</v>
      </c>
      <c r="J223" s="2" t="s">
        <v>19</v>
      </c>
      <c r="K223" s="9">
        <v>1392.02</v>
      </c>
      <c r="L223" s="2">
        <v>251.02</v>
      </c>
      <c r="M223" s="9">
        <v>1141</v>
      </c>
      <c r="N223" s="2">
        <v>-51</v>
      </c>
      <c r="O223" s="8">
        <f t="shared" si="3"/>
        <v>-58191</v>
      </c>
      <c r="P223" s="1" t="s">
        <v>20</v>
      </c>
      <c r="R223" s="1" t="s">
        <v>208</v>
      </c>
    </row>
    <row r="224" spans="1:18" x14ac:dyDescent="0.25">
      <c r="A224" s="6" t="s">
        <v>177</v>
      </c>
      <c r="B224" s="2">
        <v>564</v>
      </c>
      <c r="C224" s="7">
        <v>43931</v>
      </c>
      <c r="D224" s="2" t="s">
        <v>221</v>
      </c>
      <c r="E224" s="7">
        <v>43928</v>
      </c>
      <c r="F224" s="2">
        <v>0</v>
      </c>
      <c r="G224" s="2">
        <v>0</v>
      </c>
      <c r="H224" s="7">
        <v>43931</v>
      </c>
      <c r="I224" s="7">
        <v>43982</v>
      </c>
      <c r="J224" s="2" t="s">
        <v>19</v>
      </c>
      <c r="K224" s="9">
        <v>4842.72</v>
      </c>
      <c r="L224" s="2">
        <v>873.28</v>
      </c>
      <c r="M224" s="9">
        <v>3969.44</v>
      </c>
      <c r="N224" s="2">
        <v>-51</v>
      </c>
      <c r="O224" s="8">
        <f t="shared" si="3"/>
        <v>-202441.44</v>
      </c>
      <c r="P224" s="1" t="s">
        <v>20</v>
      </c>
      <c r="R224" s="1" t="s">
        <v>179</v>
      </c>
    </row>
    <row r="225" spans="1:18" x14ac:dyDescent="0.25">
      <c r="A225" s="6" t="s">
        <v>222</v>
      </c>
      <c r="B225" s="2">
        <v>725</v>
      </c>
      <c r="C225" s="7">
        <v>43960</v>
      </c>
      <c r="D225" s="2" t="s">
        <v>223</v>
      </c>
      <c r="E225" s="7">
        <v>43955</v>
      </c>
      <c r="F225" s="2">
        <v>0</v>
      </c>
      <c r="G225" s="2">
        <v>0</v>
      </c>
      <c r="H225" s="7">
        <v>43960</v>
      </c>
      <c r="I225" s="7">
        <v>44012</v>
      </c>
      <c r="J225" s="2" t="s">
        <v>19</v>
      </c>
      <c r="K225" s="9">
        <v>1952</v>
      </c>
      <c r="L225" s="2">
        <v>352</v>
      </c>
      <c r="M225" s="9">
        <v>1600</v>
      </c>
      <c r="N225" s="2">
        <v>-52</v>
      </c>
      <c r="O225" s="8">
        <f t="shared" si="3"/>
        <v>-83200</v>
      </c>
      <c r="P225" s="1" t="s">
        <v>20</v>
      </c>
      <c r="R225" s="1" t="s">
        <v>166</v>
      </c>
    </row>
    <row r="226" spans="1:18" ht="24" x14ac:dyDescent="0.25">
      <c r="A226" s="6" t="s">
        <v>214</v>
      </c>
      <c r="B226" s="2">
        <v>538</v>
      </c>
      <c r="C226" s="7">
        <v>43929</v>
      </c>
      <c r="D226" s="2" t="s">
        <v>224</v>
      </c>
      <c r="E226" s="7">
        <v>43923</v>
      </c>
      <c r="F226" s="2">
        <v>0</v>
      </c>
      <c r="G226" s="2">
        <v>0</v>
      </c>
      <c r="H226" s="7">
        <v>43929</v>
      </c>
      <c r="I226" s="7">
        <v>43984</v>
      </c>
      <c r="J226" s="2" t="s">
        <v>19</v>
      </c>
      <c r="K226" s="2">
        <v>666</v>
      </c>
      <c r="L226" s="2">
        <v>0</v>
      </c>
      <c r="M226" s="2">
        <v>666</v>
      </c>
      <c r="N226" s="2">
        <v>-55</v>
      </c>
      <c r="O226" s="8">
        <f t="shared" si="3"/>
        <v>-36630</v>
      </c>
      <c r="P226" s="1" t="s">
        <v>20</v>
      </c>
      <c r="R226" s="1" t="s">
        <v>216</v>
      </c>
    </row>
    <row r="227" spans="1:18" x14ac:dyDescent="0.25">
      <c r="A227" s="6" t="s">
        <v>225</v>
      </c>
      <c r="B227" s="2">
        <v>948</v>
      </c>
      <c r="C227" s="7">
        <v>43988</v>
      </c>
      <c r="D227" s="2" t="s">
        <v>226</v>
      </c>
      <c r="E227" s="7">
        <v>43981</v>
      </c>
      <c r="F227" s="2">
        <v>0</v>
      </c>
      <c r="G227" s="2">
        <v>0</v>
      </c>
      <c r="H227" s="7">
        <v>43988</v>
      </c>
      <c r="I227" s="7">
        <v>44043</v>
      </c>
      <c r="J227" s="2" t="s">
        <v>19</v>
      </c>
      <c r="K227" s="2">
        <v>73.2</v>
      </c>
      <c r="L227" s="2">
        <v>13.2</v>
      </c>
      <c r="M227" s="2">
        <v>60</v>
      </c>
      <c r="N227" s="2">
        <v>-55</v>
      </c>
      <c r="O227" s="8">
        <f t="shared" si="3"/>
        <v>-3300</v>
      </c>
      <c r="P227" s="1" t="s">
        <v>20</v>
      </c>
      <c r="R227" s="1" t="s">
        <v>227</v>
      </c>
    </row>
    <row r="228" spans="1:18" x14ac:dyDescent="0.25">
      <c r="A228" s="6" t="s">
        <v>225</v>
      </c>
      <c r="B228" s="2">
        <v>535</v>
      </c>
      <c r="C228" s="7">
        <v>43925</v>
      </c>
      <c r="D228" s="2" t="s">
        <v>228</v>
      </c>
      <c r="E228" s="7">
        <v>43921</v>
      </c>
      <c r="F228" s="2">
        <v>0</v>
      </c>
      <c r="G228" s="2">
        <v>0</v>
      </c>
      <c r="H228" s="7">
        <v>43925</v>
      </c>
      <c r="I228" s="7">
        <v>43982</v>
      </c>
      <c r="J228" s="2" t="s">
        <v>19</v>
      </c>
      <c r="K228" s="2">
        <v>73.2</v>
      </c>
      <c r="L228" s="2">
        <v>13.2</v>
      </c>
      <c r="M228" s="2">
        <v>60</v>
      </c>
      <c r="N228" s="2">
        <v>-57</v>
      </c>
      <c r="O228" s="8">
        <f t="shared" si="3"/>
        <v>-3420</v>
      </c>
      <c r="P228" s="1" t="s">
        <v>20</v>
      </c>
      <c r="R228" s="1" t="s">
        <v>227</v>
      </c>
    </row>
    <row r="229" spans="1:18" ht="24" x14ac:dyDescent="0.25">
      <c r="A229" s="6" t="s">
        <v>217</v>
      </c>
      <c r="B229" s="2">
        <v>961</v>
      </c>
      <c r="C229" s="7">
        <v>43994</v>
      </c>
      <c r="D229" s="2" t="s">
        <v>229</v>
      </c>
      <c r="E229" s="7">
        <v>43992</v>
      </c>
      <c r="F229" s="2">
        <v>0</v>
      </c>
      <c r="G229" s="2">
        <v>0</v>
      </c>
      <c r="H229" s="7">
        <v>43994</v>
      </c>
      <c r="I229" s="7">
        <v>44053</v>
      </c>
      <c r="J229" s="2" t="s">
        <v>19</v>
      </c>
      <c r="K229" s="9">
        <v>1500</v>
      </c>
      <c r="L229" s="2">
        <v>71.430000000000007</v>
      </c>
      <c r="M229" s="9">
        <v>1428.57</v>
      </c>
      <c r="N229" s="2">
        <v>-59</v>
      </c>
      <c r="O229" s="8">
        <f t="shared" si="3"/>
        <v>-84285.62999999999</v>
      </c>
      <c r="P229" s="1" t="s">
        <v>20</v>
      </c>
      <c r="R229" s="1" t="s">
        <v>219</v>
      </c>
    </row>
    <row r="230" spans="1:18" x14ac:dyDescent="0.25">
      <c r="A230" s="6" t="s">
        <v>230</v>
      </c>
      <c r="B230" s="2">
        <v>909</v>
      </c>
      <c r="C230" s="7">
        <v>43980</v>
      </c>
      <c r="D230" s="2" t="str">
        <f>"7400017752"</f>
        <v>7400017752</v>
      </c>
      <c r="E230" s="7">
        <v>43970</v>
      </c>
      <c r="F230" s="2">
        <v>0</v>
      </c>
      <c r="G230" s="2">
        <v>0</v>
      </c>
      <c r="H230" s="7">
        <v>43981</v>
      </c>
      <c r="I230" s="7">
        <v>44045</v>
      </c>
      <c r="J230" s="2" t="s">
        <v>19</v>
      </c>
      <c r="K230" s="2">
        <v>5.44</v>
      </c>
      <c r="L230" s="2">
        <v>0.21</v>
      </c>
      <c r="M230" s="2">
        <v>5.23</v>
      </c>
      <c r="N230" s="2">
        <v>-64</v>
      </c>
      <c r="O230" s="8">
        <f t="shared" si="3"/>
        <v>-334.72</v>
      </c>
      <c r="P230" s="1" t="s">
        <v>20</v>
      </c>
      <c r="R230" s="1" t="s">
        <v>231</v>
      </c>
    </row>
    <row r="231" spans="1:18" x14ac:dyDescent="0.25">
      <c r="A231" s="6" t="s">
        <v>230</v>
      </c>
      <c r="B231" s="2">
        <v>917</v>
      </c>
      <c r="C231" s="7">
        <v>43980</v>
      </c>
      <c r="D231" s="2" t="str">
        <f>"7400017751"</f>
        <v>7400017751</v>
      </c>
      <c r="E231" s="7">
        <v>43970</v>
      </c>
      <c r="F231" s="2">
        <v>0</v>
      </c>
      <c r="G231" s="2">
        <v>0</v>
      </c>
      <c r="H231" s="7">
        <v>43981</v>
      </c>
      <c r="I231" s="7">
        <v>44045</v>
      </c>
      <c r="J231" s="2" t="s">
        <v>19</v>
      </c>
      <c r="K231" s="2">
        <v>89.65</v>
      </c>
      <c r="L231" s="2">
        <v>3.45</v>
      </c>
      <c r="M231" s="2">
        <v>86.2</v>
      </c>
      <c r="N231" s="2">
        <v>-64</v>
      </c>
      <c r="O231" s="8">
        <f t="shared" si="3"/>
        <v>-5516.8</v>
      </c>
      <c r="P231" s="1" t="s">
        <v>20</v>
      </c>
      <c r="R231" s="1" t="s">
        <v>231</v>
      </c>
    </row>
    <row r="232" spans="1:18" x14ac:dyDescent="0.25">
      <c r="A232" s="6" t="s">
        <v>232</v>
      </c>
      <c r="B232" s="2">
        <v>1076</v>
      </c>
      <c r="C232" s="7">
        <v>44002</v>
      </c>
      <c r="D232" s="2" t="s">
        <v>233</v>
      </c>
      <c r="E232" s="7">
        <v>43998</v>
      </c>
      <c r="F232" s="2">
        <v>0</v>
      </c>
      <c r="G232" s="2">
        <v>0</v>
      </c>
      <c r="H232" s="7">
        <v>44002</v>
      </c>
      <c r="I232" s="7">
        <v>44074</v>
      </c>
      <c r="J232" s="2" t="s">
        <v>19</v>
      </c>
      <c r="K232" s="2">
        <v>409.55</v>
      </c>
      <c r="L232" s="2">
        <v>73.849999999999994</v>
      </c>
      <c r="M232" s="2">
        <v>335.7</v>
      </c>
      <c r="N232" s="2">
        <v>-72</v>
      </c>
      <c r="O232" s="8">
        <f t="shared" si="3"/>
        <v>-24170.399999999998</v>
      </c>
      <c r="P232" s="1" t="s">
        <v>20</v>
      </c>
      <c r="R232" s="1" t="s">
        <v>125</v>
      </c>
    </row>
    <row r="233" spans="1:18" x14ac:dyDescent="0.25">
      <c r="A233" s="6" t="s">
        <v>234</v>
      </c>
      <c r="B233" s="2">
        <v>571</v>
      </c>
      <c r="C233" s="7">
        <v>43939</v>
      </c>
      <c r="D233" s="2" t="s">
        <v>235</v>
      </c>
      <c r="E233" s="7">
        <v>43927</v>
      </c>
      <c r="F233" s="2">
        <v>0</v>
      </c>
      <c r="G233" s="2">
        <v>0</v>
      </c>
      <c r="H233" s="7">
        <v>43939</v>
      </c>
      <c r="I233" s="7">
        <v>44012</v>
      </c>
      <c r="J233" s="2" t="s">
        <v>19</v>
      </c>
      <c r="K233" s="9">
        <v>8879.68</v>
      </c>
      <c r="L233" s="9">
        <v>1601.25</v>
      </c>
      <c r="M233" s="9">
        <v>7278.43</v>
      </c>
      <c r="N233" s="2">
        <v>-73</v>
      </c>
      <c r="O233" s="8">
        <f t="shared" si="3"/>
        <v>-531325.39</v>
      </c>
      <c r="P233" s="1" t="s">
        <v>20</v>
      </c>
      <c r="R233" s="1" t="s">
        <v>107</v>
      </c>
    </row>
    <row r="234" spans="1:18" ht="24" x14ac:dyDescent="0.25">
      <c r="A234" s="6" t="s">
        <v>236</v>
      </c>
      <c r="B234" s="2">
        <v>569</v>
      </c>
      <c r="C234" s="7">
        <v>43938</v>
      </c>
      <c r="D234" s="2" t="s">
        <v>237</v>
      </c>
      <c r="E234" s="7">
        <v>43928</v>
      </c>
      <c r="F234" s="2">
        <v>0</v>
      </c>
      <c r="G234" s="2">
        <v>0</v>
      </c>
      <c r="H234" s="7">
        <v>43939</v>
      </c>
      <c r="I234" s="7">
        <v>44012</v>
      </c>
      <c r="J234" s="2" t="s">
        <v>19</v>
      </c>
      <c r="K234" s="9">
        <v>5004.49</v>
      </c>
      <c r="L234" s="2">
        <v>454.95</v>
      </c>
      <c r="M234" s="9">
        <v>4549.54</v>
      </c>
      <c r="N234" s="2">
        <v>-73</v>
      </c>
      <c r="O234" s="8">
        <f t="shared" si="3"/>
        <v>-332116.42</v>
      </c>
      <c r="P234" s="1" t="s">
        <v>20</v>
      </c>
      <c r="R234" s="1" t="s">
        <v>21</v>
      </c>
    </row>
    <row r="235" spans="1:18" ht="13.5" thickBot="1" x14ac:dyDescent="0.3">
      <c r="A235" s="12" t="s">
        <v>238</v>
      </c>
      <c r="B235" s="13"/>
      <c r="C235" s="13"/>
      <c r="D235" s="13"/>
      <c r="E235" s="13"/>
      <c r="F235" s="13">
        <v>0</v>
      </c>
      <c r="G235" s="13">
        <v>0</v>
      </c>
      <c r="H235" s="13"/>
      <c r="I235" s="13"/>
      <c r="J235" s="13"/>
      <c r="K235" s="14">
        <v>395611.69</v>
      </c>
      <c r="L235" s="14">
        <v>44376.29</v>
      </c>
      <c r="M235" s="14">
        <f>SUM(M2:M234)</f>
        <v>351235.4</v>
      </c>
      <c r="N235" s="15">
        <f>+O235/M235</f>
        <v>-19.311380686570885</v>
      </c>
      <c r="O235" s="16">
        <f>SUM(O2:O234)</f>
        <v>-6782840.5200000005</v>
      </c>
      <c r="R235" s="1" t="s">
        <v>239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fatture</vt:lpstr>
      <vt:lpstr>'elenco fatture'!Titoli_stampa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Tomezzoli</dc:creator>
  <cp:lastModifiedBy>Nicola Tomezzoli</cp:lastModifiedBy>
  <dcterms:created xsi:type="dcterms:W3CDTF">2020-07-09T05:44:47Z</dcterms:created>
  <dcterms:modified xsi:type="dcterms:W3CDTF">2020-07-09T05:52:54Z</dcterms:modified>
</cp:coreProperties>
</file>