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PDC\AreaDoc\nicola-tomezzoli\2019\INDICATORE TEMPESTIVITA' DEI PAGMENTI\IV trimestre 2019\"/>
    </mc:Choice>
  </mc:AlternateContent>
  <xr:revisionPtr revIDLastSave="0" documentId="13_ncr:1_{338578F7-29CC-4CB5-9AAA-64890CFDA9B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_RIT" sheetId="1" r:id="rId1"/>
  </sheets>
  <definedNames>
    <definedName name="_xlnm.Print_Titles" localSheetId="0">L_RIT!$1:$1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2" i="1" l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3" i="1"/>
  <c r="M4" i="1"/>
  <c r="M5" i="1"/>
  <c r="M6" i="1"/>
  <c r="M8" i="1"/>
  <c r="M9" i="1"/>
  <c r="M10" i="1"/>
  <c r="M11" i="1"/>
  <c r="M2" i="1"/>
  <c r="O217" i="1"/>
  <c r="O218" i="1"/>
  <c r="O219" i="1"/>
  <c r="O220" i="1"/>
  <c r="O221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" i="1"/>
  <c r="L4" i="1"/>
  <c r="L5" i="1"/>
  <c r="L6" i="1"/>
  <c r="L7" i="1"/>
  <c r="M7" i="1" s="1"/>
  <c r="M222" i="1" s="1"/>
  <c r="L222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" i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5" i="1"/>
  <c r="D37" i="1"/>
  <c r="D38" i="1"/>
  <c r="D39" i="1"/>
  <c r="D41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74" i="1"/>
  <c r="D75" i="1"/>
  <c r="D77" i="1"/>
  <c r="D80" i="1"/>
  <c r="D83" i="1"/>
  <c r="D84" i="1"/>
  <c r="D85" i="1"/>
  <c r="D86" i="1"/>
  <c r="D88" i="1"/>
  <c r="D90" i="1"/>
  <c r="D91" i="1"/>
  <c r="D92" i="1"/>
  <c r="D94" i="1"/>
  <c r="D96" i="1"/>
  <c r="D97" i="1"/>
  <c r="D99" i="1"/>
  <c r="D102" i="1"/>
  <c r="D103" i="1"/>
  <c r="D104" i="1"/>
  <c r="D106" i="1"/>
  <c r="D107" i="1"/>
  <c r="D108" i="1"/>
  <c r="D110" i="1"/>
  <c r="D112" i="1"/>
  <c r="D113" i="1"/>
  <c r="D114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4" i="1"/>
  <c r="D146" i="1"/>
  <c r="D147" i="1"/>
  <c r="D148" i="1"/>
  <c r="D151" i="1"/>
  <c r="D153" i="1"/>
  <c r="D154" i="1"/>
  <c r="D155" i="1"/>
  <c r="D158" i="1"/>
  <c r="D159" i="1"/>
  <c r="D160" i="1"/>
  <c r="D161" i="1"/>
  <c r="D162" i="1"/>
  <c r="D163" i="1"/>
  <c r="D164" i="1"/>
  <c r="D165" i="1"/>
  <c r="D166" i="1"/>
  <c r="D167" i="1"/>
  <c r="D172" i="1"/>
  <c r="D173" i="1"/>
  <c r="D176" i="1"/>
  <c r="D180" i="1"/>
  <c r="D182" i="1"/>
  <c r="D184" i="1"/>
  <c r="D185" i="1"/>
  <c r="D192" i="1"/>
  <c r="D196" i="1"/>
  <c r="D197" i="1"/>
  <c r="D199" i="1"/>
  <c r="D201" i="1"/>
  <c r="D202" i="1"/>
  <c r="D203" i="1"/>
  <c r="D204" i="1"/>
  <c r="D205" i="1"/>
  <c r="D209" i="1"/>
  <c r="D212" i="1"/>
  <c r="D214" i="1"/>
  <c r="D217" i="1"/>
  <c r="D218" i="1"/>
</calcChain>
</file>

<file path=xl/sharedStrings.xml><?xml version="1.0" encoding="utf-8"?>
<sst xmlns="http://schemas.openxmlformats.org/spreadsheetml/2006/main" count="758" uniqueCount="164">
  <si>
    <t>Beneficiario</t>
  </si>
  <si>
    <t>Data mandato</t>
  </si>
  <si>
    <t>Num. fattura</t>
  </si>
  <si>
    <t>Data fattura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</si>
  <si>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</si>
  <si>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</si>
  <si>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</si>
  <si>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</si>
  <si>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</si>
  <si>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</si>
  <si>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</si>
  <si>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</si>
  <si>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Stato MEF</t>
  </si>
  <si>
    <t>GESTORE DEI SERVIZI ELETTRICI SPA</t>
  </si>
  <si>
    <t>S</t>
  </si>
  <si>
    <t>Liquidato</t>
  </si>
  <si>
    <t>P</t>
  </si>
  <si>
    <t>ACQUE VERONESI S.C.A.R.L.</t>
  </si>
  <si>
    <t>DOLOMITI ENERGIA SPA</t>
  </si>
  <si>
    <t>GLOBAL POWER SPA</t>
  </si>
  <si>
    <t>V0/146277</t>
  </si>
  <si>
    <t>V0/146271</t>
  </si>
  <si>
    <t>V0/146273</t>
  </si>
  <si>
    <t>V0/146268</t>
  </si>
  <si>
    <t>V0/146275</t>
  </si>
  <si>
    <t>V0/146274</t>
  </si>
  <si>
    <t>V0/146276</t>
  </si>
  <si>
    <t>V0/146270</t>
  </si>
  <si>
    <t>V0/146269</t>
  </si>
  <si>
    <t>V0/146272</t>
  </si>
  <si>
    <t>V0/146267</t>
  </si>
  <si>
    <t>RIZZOLO LUCIANO</t>
  </si>
  <si>
    <t>SUPERBETON SPA</t>
  </si>
  <si>
    <t>VP/813</t>
  </si>
  <si>
    <t>STUDIOENTE SRL</t>
  </si>
  <si>
    <t>41F</t>
  </si>
  <si>
    <t>AGRIVERDE</t>
  </si>
  <si>
    <t>7/PA</t>
  </si>
  <si>
    <t>8/PA</t>
  </si>
  <si>
    <t>ELETTROTECNICA S.R.L.</t>
  </si>
  <si>
    <t>1865/V1</t>
  </si>
  <si>
    <t>STUDIO DI ARCHITETTURA ALBERTO SARTORI</t>
  </si>
  <si>
    <t>ASSOCIAZIONE PRO LOCO `LE CONTRA'`</t>
  </si>
  <si>
    <t>3FE</t>
  </si>
  <si>
    <t>PUBLIMULTIMEDIA SNC DI VOI FEDERICO &amp; C.</t>
  </si>
  <si>
    <t>1/ PA</t>
  </si>
  <si>
    <t>BISIGHIN LORIS</t>
  </si>
  <si>
    <t>19/PA</t>
  </si>
  <si>
    <t>17/PA</t>
  </si>
  <si>
    <t>18/PA</t>
  </si>
  <si>
    <t>GLOBAL POWER SERVICE SPA</t>
  </si>
  <si>
    <t>2019-V5-204</t>
  </si>
  <si>
    <t>SIVE S.R.L.</t>
  </si>
  <si>
    <t>LADE s.r.l.</t>
  </si>
  <si>
    <t>0000031/PA</t>
  </si>
  <si>
    <t>PAIOLA BRUNO S.A.S.</t>
  </si>
  <si>
    <t>59/E</t>
  </si>
  <si>
    <t>58/E</t>
  </si>
  <si>
    <t>VELOCAR SRL</t>
  </si>
  <si>
    <t>446/SP</t>
  </si>
  <si>
    <t>GIANNI SBIZZERA</t>
  </si>
  <si>
    <t>FPA 2/19</t>
  </si>
  <si>
    <t>AUTOFFICINA SGANZERLA MAURIZIO</t>
  </si>
  <si>
    <t>IL PONTE SOCIETA' COOPERATIVA SOCIALE O.N.L.U.S.</t>
  </si>
  <si>
    <t>2019   152/E</t>
  </si>
  <si>
    <t>Sodexo Italia S.p.A.</t>
  </si>
  <si>
    <t>SANITARIA SERVIZI AMBIENTALI SRL</t>
  </si>
  <si>
    <t>000378/PA</t>
  </si>
  <si>
    <t>C.A.M.V.O. S.p.A.</t>
  </si>
  <si>
    <t>MAGGIOLI S.P.A.</t>
  </si>
  <si>
    <t>IMPRESA EDILE DEGANI GIANNI</t>
  </si>
  <si>
    <t>6 PA</t>
  </si>
  <si>
    <t>2019-V5-228</t>
  </si>
  <si>
    <t>EASY SERVER SRL</t>
  </si>
  <si>
    <t>ACCATRE S.R.L.</t>
  </si>
  <si>
    <t>190972/1</t>
  </si>
  <si>
    <t>LEGGERE SRL</t>
  </si>
  <si>
    <t>I.C.E.A.M. SRL</t>
  </si>
  <si>
    <t>2019   118/E</t>
  </si>
  <si>
    <t>2019-V5-247</t>
  </si>
  <si>
    <t>FINATO SRL</t>
  </si>
  <si>
    <t>FONDAZIONE GIOVANNI MERITANI</t>
  </si>
  <si>
    <t>92/E</t>
  </si>
  <si>
    <t>MUNICIPIA S.P.A.</t>
  </si>
  <si>
    <t>SGANZERLA ZOILO</t>
  </si>
  <si>
    <t>E 31</t>
  </si>
  <si>
    <t>VERDEARANCIO SOCIETA'COOPERATIVA SOCIALE -ONLUS</t>
  </si>
  <si>
    <t>31/19/PA</t>
  </si>
  <si>
    <t>SAV CONSULENZA &amp; MARKETING S.R.L.</t>
  </si>
  <si>
    <t>38/19/PA</t>
  </si>
  <si>
    <t>GRAFICHE STELLA s.r.l.</t>
  </si>
  <si>
    <t>1133/D</t>
  </si>
  <si>
    <t>E 30</t>
  </si>
  <si>
    <t>KYOCERA DOCUMENT SOLUTIONS ITALIA S.P.A.</t>
  </si>
  <si>
    <t>WELCOME ITALIA SPA</t>
  </si>
  <si>
    <t>GRAFICHE E.GASPARI SRL</t>
  </si>
  <si>
    <t>17290/S</t>
  </si>
  <si>
    <t>108/E</t>
  </si>
  <si>
    <t>4FE</t>
  </si>
  <si>
    <t>66/E</t>
  </si>
  <si>
    <t>102/E</t>
  </si>
  <si>
    <t>1415V1</t>
  </si>
  <si>
    <t>ECOTRAFFIC S.R.L.</t>
  </si>
  <si>
    <t>VEN/2405</t>
  </si>
  <si>
    <t>02448/S</t>
  </si>
  <si>
    <t>M.G.R. DI ALEX MALAGUTI AND C. SAS</t>
  </si>
  <si>
    <t>12S</t>
  </si>
  <si>
    <t>96/E</t>
  </si>
  <si>
    <t>112/E</t>
  </si>
  <si>
    <t>NEXT.ORG SRLS</t>
  </si>
  <si>
    <t>77/PA</t>
  </si>
  <si>
    <t>MOBILFERRO ARREDAMENTI S.R.L.</t>
  </si>
  <si>
    <t>CONSORZIO EUROBUS VERONA SOC. COOP.</t>
  </si>
  <si>
    <t>539/FE</t>
  </si>
  <si>
    <t>2019   109/E</t>
  </si>
  <si>
    <t>CONSORZIO ENERGIA VENETO</t>
  </si>
  <si>
    <t>1103-2019-00</t>
  </si>
  <si>
    <t>685/FE</t>
  </si>
  <si>
    <t>STUDIO GIALLO SRL</t>
  </si>
  <si>
    <t>398/11</t>
  </si>
  <si>
    <t>PROTEKO NORDEST SRL</t>
  </si>
  <si>
    <t>FONDAZIONE MADONNA DI LOURDES ONLUS</t>
  </si>
  <si>
    <t>ENERGIE SOCIALI COOPERATIVA SOCIALE ONLUS</t>
  </si>
  <si>
    <t>2019   104/E</t>
  </si>
  <si>
    <t>1265-2019-01</t>
  </si>
  <si>
    <t>1309-2019-01</t>
  </si>
  <si>
    <t>1199-2019-01</t>
  </si>
  <si>
    <t>614/FE</t>
  </si>
  <si>
    <t>2019   158/E</t>
  </si>
  <si>
    <t>ACLI SERVICE VERONA S.R.L.</t>
  </si>
  <si>
    <t>26 PA</t>
  </si>
  <si>
    <t>0000041/PA</t>
  </si>
  <si>
    <t>0000040/PA</t>
  </si>
  <si>
    <t>9/PA</t>
  </si>
  <si>
    <t>ZANETTI SERVIZI S.R.L.</t>
  </si>
  <si>
    <t>ELETTRO FLASH S.N.C. DI BALDASSARI GIANLUIGI E C</t>
  </si>
  <si>
    <t>2019    17/P</t>
  </si>
  <si>
    <t>COMUNICAZIONI D'AUTORE COPPARI MARIA FIORENZA</t>
  </si>
  <si>
    <t>MIGLIORINI ANDREA</t>
  </si>
  <si>
    <t>FATTPA 16_19</t>
  </si>
  <si>
    <t>STUDIO RICERCA S.a.s. di De Grandis Lauro &amp; C.</t>
  </si>
  <si>
    <t>M.ET.RO. S.R.L.</t>
  </si>
  <si>
    <t>35/19/PA</t>
  </si>
  <si>
    <t>377/11</t>
  </si>
  <si>
    <t>NOMODIDATTICA S.R.L.</t>
  </si>
  <si>
    <t>2019   173/E</t>
  </si>
  <si>
    <t>20770/S</t>
  </si>
  <si>
    <t>LAVORO &amp; SOCIETA' SOC. CONS. A R.L.</t>
  </si>
  <si>
    <t>114 PA</t>
  </si>
  <si>
    <t>497/FE</t>
  </si>
  <si>
    <t>498/FE</t>
  </si>
  <si>
    <t>M.D.L. SNC DI ANDREOLI &amp;.MURAROLI</t>
  </si>
  <si>
    <t>16A/PA</t>
  </si>
  <si>
    <t>ADDICALCO LOGISTICA SRL</t>
  </si>
  <si>
    <t>980/00002</t>
  </si>
  <si>
    <t>2019    20/P</t>
  </si>
  <si>
    <t>* RISULTATO 4o TRIMESTRE *</t>
  </si>
  <si>
    <t>***************</t>
  </si>
  <si>
    <t>Diff. Giorni</t>
  </si>
  <si>
    <t>Mand.</t>
  </si>
  <si>
    <t>DIREZ.PROV.PP.TT.-RAGIONER. PROV.MACCHINE AFFRANCATRICE</t>
  </si>
  <si>
    <t>DIREZ.PROV.PP.TT.- RAGIONER. PROV.MACCHINE AFFRANCATRICE</t>
  </si>
  <si>
    <t>3/77</t>
  </si>
  <si>
    <t>11/10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</si>
</sst>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3" fontId="18" fillId="0" borderId="0" xfId="0" applyNumberFormat="1" applyFont="1" applyFill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14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4" fontId="18" fillId="0" borderId="15" xfId="0" applyNumberFormat="1" applyFont="1" applyBorder="1" applyAlignment="1">
      <alignment vertical="center" wrapText="1"/>
    </xf>
    <xf numFmtId="4" fontId="18" fillId="0" borderId="15" xfId="0" applyNumberFormat="1" applyFont="1" applyFill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4" fontId="18" fillId="0" borderId="17" xfId="0" applyNumberFormat="1" applyFont="1" applyBorder="1" applyAlignment="1">
      <alignment vertical="center" wrapText="1"/>
    </xf>
    <xf numFmtId="2" fontId="18" fillId="0" borderId="17" xfId="0" applyNumberFormat="1" applyFont="1" applyBorder="1" applyAlignment="1">
      <alignment vertical="center" wrapText="1"/>
    </xf>
    <xf numFmtId="4" fontId="18" fillId="0" borderId="18" xfId="0" applyNumberFormat="1" applyFont="1" applyBorder="1" applyAlignment="1">
      <alignment vertical="center" wrapText="1"/>
    </xf>
    <xf numFmtId="0" fontId="18" fillId="0" borderId="10" xfId="0" quotePrefix="1" applyFont="1" applyBorder="1" applyAlignment="1">
      <alignment vertical="center" wrapText="1"/>
    </xf>
    <xf numFmtId="16" fontId="18" fillId="0" borderId="10" xfId="0" quotePrefix="1" applyNumberFormat="1" applyFont="1" applyBorder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2"/>
  <sheetViews>
    <sheetView tabSelected="1" workbookViewId="0">
      <pane ySplit="1" topLeftCell="A199" activePane="bottomLeft" state="frozen"/>
      <selection pane="bottomLeft" activeCell="D225" sqref="D225"/>
    </sheetView>
  </sheetViews>
  <sheetFormatPr defaultRowHeight="12.75" x14ac:dyDescent="0.25"/>
  <cols>
    <col min="1" max="1" width="31.85546875" style="1" customWidth="1"/>
    <col min="2" max="2" width="6" style="1" bestFit="1" customWidth="1"/>
    <col min="3" max="3" width="10.85546875" style="1" customWidth="1"/>
    <col min="4" max="4" width="20.28515625" style="1" bestFit="1" customWidth="1"/>
    <col min="5" max="5" width="10.42578125" style="1" customWidth="1"/>
    <col min="6" max="7" width="10.42578125" style="1" bestFit="1" customWidth="1"/>
    <col min="8" max="8" width="6" style="1" hidden="1" customWidth="1"/>
    <col min="9" max="10" width="0" style="1" hidden="1" customWidth="1"/>
    <col min="11" max="11" width="9.85546875" style="1" bestFit="1" customWidth="1"/>
    <col min="12" max="12" width="6.85546875" style="1" bestFit="1" customWidth="1"/>
    <col min="13" max="13" width="12.85546875" style="1" bestFit="1" customWidth="1"/>
    <col min="14" max="14" width="0" style="1" hidden="1" customWidth="1"/>
    <col min="15" max="15" width="10.7109375" style="1" hidden="1" customWidth="1"/>
    <col min="16" max="16384" width="9.140625" style="1"/>
  </cols>
  <sheetData>
    <row r="1" spans="1:15" ht="25.5" x14ac:dyDescent="0.25">
      <c r="A1" s="12" t="s">
        <v>0</v>
      </c>
      <c r="B1" s="13" t="s">
        <v>159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4" t="s">
        <v>11</v>
      </c>
      <c r="N1" s="1" t="s">
        <v>12</v>
      </c>
      <c r="O1" s="1" t="s">
        <v>158</v>
      </c>
    </row>
    <row r="2" spans="1:15" x14ac:dyDescent="0.25">
      <c r="A2" s="15" t="s">
        <v>13</v>
      </c>
      <c r="B2" s="5">
        <v>1958</v>
      </c>
      <c r="C2" s="6">
        <v>43809</v>
      </c>
      <c r="D2" s="5" t="str">
        <f>"6965"</f>
        <v>6965</v>
      </c>
      <c r="E2" s="6">
        <v>42426</v>
      </c>
      <c r="F2" s="6">
        <v>43815</v>
      </c>
      <c r="G2" s="6">
        <v>42719</v>
      </c>
      <c r="H2" s="5" t="s">
        <v>14</v>
      </c>
      <c r="I2" s="5">
        <v>7.26</v>
      </c>
      <c r="J2" s="5">
        <v>0</v>
      </c>
      <c r="K2" s="5">
        <v>7.26</v>
      </c>
      <c r="L2" s="7">
        <f>+F2-G2</f>
        <v>1096</v>
      </c>
      <c r="M2" s="16">
        <f>+L2*K2</f>
        <v>7956.96</v>
      </c>
      <c r="N2" s="1" t="s">
        <v>15</v>
      </c>
      <c r="O2" s="2">
        <f>+G2-E2</f>
        <v>293</v>
      </c>
    </row>
    <row r="3" spans="1:15" x14ac:dyDescent="0.25">
      <c r="A3" s="15" t="s">
        <v>13</v>
      </c>
      <c r="B3" s="5">
        <v>1959</v>
      </c>
      <c r="C3" s="6">
        <v>43810</v>
      </c>
      <c r="D3" s="5" t="str">
        <f>"36815"</f>
        <v>36815</v>
      </c>
      <c r="E3" s="6">
        <v>42692</v>
      </c>
      <c r="F3" s="6">
        <v>43815</v>
      </c>
      <c r="G3" s="6">
        <v>42725</v>
      </c>
      <c r="H3" s="5" t="s">
        <v>16</v>
      </c>
      <c r="I3" s="5">
        <v>7.26</v>
      </c>
      <c r="J3" s="5">
        <v>7.26</v>
      </c>
      <c r="K3" s="5">
        <v>0</v>
      </c>
      <c r="L3" s="7">
        <f t="shared" ref="L3:L66" si="0">+F3-G3</f>
        <v>1090</v>
      </c>
      <c r="M3" s="16">
        <f t="shared" ref="M3:M66" si="1">+L3*K3</f>
        <v>0</v>
      </c>
      <c r="N3" s="1" t="s">
        <v>15</v>
      </c>
      <c r="O3" s="2">
        <f t="shared" ref="O3:O67" si="2">+G3-E3</f>
        <v>33</v>
      </c>
    </row>
    <row r="4" spans="1:15" x14ac:dyDescent="0.25">
      <c r="A4" s="15" t="s">
        <v>13</v>
      </c>
      <c r="B4" s="5">
        <v>1960</v>
      </c>
      <c r="C4" s="6">
        <v>43810</v>
      </c>
      <c r="D4" s="5" t="str">
        <f>"8451"</f>
        <v>8451</v>
      </c>
      <c r="E4" s="6">
        <v>42818</v>
      </c>
      <c r="F4" s="6">
        <v>43815</v>
      </c>
      <c r="G4" s="6">
        <v>42855</v>
      </c>
      <c r="H4" s="5" t="s">
        <v>14</v>
      </c>
      <c r="I4" s="5">
        <v>7.26</v>
      </c>
      <c r="J4" s="5">
        <v>7.26</v>
      </c>
      <c r="K4" s="5">
        <v>0</v>
      </c>
      <c r="L4" s="7">
        <f t="shared" si="0"/>
        <v>960</v>
      </c>
      <c r="M4" s="16">
        <f t="shared" si="1"/>
        <v>0</v>
      </c>
      <c r="N4" s="1" t="s">
        <v>15</v>
      </c>
      <c r="O4" s="2">
        <f t="shared" si="2"/>
        <v>37</v>
      </c>
    </row>
    <row r="5" spans="1:15" x14ac:dyDescent="0.25">
      <c r="A5" s="15" t="s">
        <v>13</v>
      </c>
      <c r="B5" s="5">
        <v>1963</v>
      </c>
      <c r="C5" s="6">
        <v>43812</v>
      </c>
      <c r="D5" s="5" t="str">
        <f>"28796"</f>
        <v>28796</v>
      </c>
      <c r="E5" s="6">
        <v>43031</v>
      </c>
      <c r="F5" s="6">
        <v>43815</v>
      </c>
      <c r="G5" s="6">
        <v>43061</v>
      </c>
      <c r="H5" s="5" t="s">
        <v>14</v>
      </c>
      <c r="I5" s="5">
        <v>51.24</v>
      </c>
      <c r="J5" s="5">
        <v>9.24</v>
      </c>
      <c r="K5" s="5">
        <v>42</v>
      </c>
      <c r="L5" s="7">
        <f t="shared" si="0"/>
        <v>754</v>
      </c>
      <c r="M5" s="16">
        <f t="shared" si="1"/>
        <v>31668</v>
      </c>
      <c r="N5" s="1" t="s">
        <v>15</v>
      </c>
      <c r="O5" s="2">
        <f t="shared" si="2"/>
        <v>30</v>
      </c>
    </row>
    <row r="6" spans="1:15" x14ac:dyDescent="0.25">
      <c r="A6" s="15" t="s">
        <v>13</v>
      </c>
      <c r="B6" s="5">
        <v>1964</v>
      </c>
      <c r="C6" s="6">
        <v>43812</v>
      </c>
      <c r="D6" s="5" t="str">
        <f>"12440"</f>
        <v>12440</v>
      </c>
      <c r="E6" s="6">
        <v>43234</v>
      </c>
      <c r="F6" s="6">
        <v>43815</v>
      </c>
      <c r="G6" s="6">
        <v>43272</v>
      </c>
      <c r="H6" s="5" t="s">
        <v>14</v>
      </c>
      <c r="I6" s="5">
        <v>51.24</v>
      </c>
      <c r="J6" s="5">
        <v>9.24</v>
      </c>
      <c r="K6" s="5">
        <v>42</v>
      </c>
      <c r="L6" s="7">
        <f t="shared" si="0"/>
        <v>543</v>
      </c>
      <c r="M6" s="16">
        <f t="shared" si="1"/>
        <v>22806</v>
      </c>
      <c r="N6" s="1" t="s">
        <v>15</v>
      </c>
      <c r="O6" s="2">
        <f t="shared" si="2"/>
        <v>38</v>
      </c>
    </row>
    <row r="7" spans="1:15" x14ac:dyDescent="0.25">
      <c r="A7" s="15" t="s">
        <v>13</v>
      </c>
      <c r="B7" s="5">
        <v>1965</v>
      </c>
      <c r="C7" s="6">
        <v>43812</v>
      </c>
      <c r="D7" s="5" t="str">
        <f>"29332"</f>
        <v>29332</v>
      </c>
      <c r="E7" s="6">
        <v>43371</v>
      </c>
      <c r="F7" s="6">
        <v>43815</v>
      </c>
      <c r="G7" s="9">
        <v>43401</v>
      </c>
      <c r="H7" s="10" t="s">
        <v>14</v>
      </c>
      <c r="I7" s="10">
        <v>51.24</v>
      </c>
      <c r="J7" s="10">
        <v>9.24</v>
      </c>
      <c r="K7" s="10">
        <v>42</v>
      </c>
      <c r="L7" s="11">
        <f t="shared" si="0"/>
        <v>414</v>
      </c>
      <c r="M7" s="17">
        <f t="shared" si="1"/>
        <v>17388</v>
      </c>
      <c r="N7" s="3" t="s">
        <v>15</v>
      </c>
      <c r="O7" s="4">
        <f t="shared" si="2"/>
        <v>30</v>
      </c>
    </row>
    <row r="8" spans="1:15" x14ac:dyDescent="0.25">
      <c r="A8" s="15" t="s">
        <v>13</v>
      </c>
      <c r="B8" s="5">
        <v>1962</v>
      </c>
      <c r="C8" s="6">
        <v>43812</v>
      </c>
      <c r="D8" s="5" t="str">
        <f>"2019009716"</f>
        <v>2019009716</v>
      </c>
      <c r="E8" s="6">
        <v>43601</v>
      </c>
      <c r="F8" s="6">
        <v>43815</v>
      </c>
      <c r="G8" s="6">
        <v>43631</v>
      </c>
      <c r="H8" s="5" t="s">
        <v>14</v>
      </c>
      <c r="I8" s="5">
        <v>36.6</v>
      </c>
      <c r="J8" s="5">
        <v>6.6</v>
      </c>
      <c r="K8" s="5">
        <v>30</v>
      </c>
      <c r="L8" s="7">
        <f t="shared" si="0"/>
        <v>184</v>
      </c>
      <c r="M8" s="16">
        <f t="shared" si="1"/>
        <v>5520</v>
      </c>
      <c r="N8" s="1" t="s">
        <v>15</v>
      </c>
      <c r="O8" s="2">
        <f t="shared" si="2"/>
        <v>30</v>
      </c>
    </row>
    <row r="9" spans="1:15" x14ac:dyDescent="0.25">
      <c r="A9" s="15" t="s">
        <v>13</v>
      </c>
      <c r="B9" s="5">
        <v>1962</v>
      </c>
      <c r="C9" s="6">
        <v>43812</v>
      </c>
      <c r="D9" s="5" t="str">
        <f>"2019009717"</f>
        <v>2019009717</v>
      </c>
      <c r="E9" s="6">
        <v>43601</v>
      </c>
      <c r="F9" s="6">
        <v>43815</v>
      </c>
      <c r="G9" s="6">
        <v>43631</v>
      </c>
      <c r="H9" s="5" t="s">
        <v>14</v>
      </c>
      <c r="I9" s="5">
        <v>36.6</v>
      </c>
      <c r="J9" s="5">
        <v>6.6</v>
      </c>
      <c r="K9" s="5">
        <v>30</v>
      </c>
      <c r="L9" s="7">
        <f t="shared" si="0"/>
        <v>184</v>
      </c>
      <c r="M9" s="16">
        <f t="shared" si="1"/>
        <v>5520</v>
      </c>
      <c r="N9" s="1" t="s">
        <v>15</v>
      </c>
      <c r="O9" s="2">
        <f t="shared" si="2"/>
        <v>30</v>
      </c>
    </row>
    <row r="10" spans="1:15" x14ac:dyDescent="0.25">
      <c r="A10" s="15" t="s">
        <v>13</v>
      </c>
      <c r="B10" s="5">
        <v>1962</v>
      </c>
      <c r="C10" s="6">
        <v>43812</v>
      </c>
      <c r="D10" s="5" t="str">
        <f>"2019009715"</f>
        <v>2019009715</v>
      </c>
      <c r="E10" s="6">
        <v>43601</v>
      </c>
      <c r="F10" s="6">
        <v>43815</v>
      </c>
      <c r="G10" s="6">
        <v>43631</v>
      </c>
      <c r="H10" s="5" t="s">
        <v>14</v>
      </c>
      <c r="I10" s="5">
        <v>36.6</v>
      </c>
      <c r="J10" s="5">
        <v>6.6</v>
      </c>
      <c r="K10" s="5">
        <v>30</v>
      </c>
      <c r="L10" s="7">
        <f t="shared" si="0"/>
        <v>184</v>
      </c>
      <c r="M10" s="16">
        <f t="shared" si="1"/>
        <v>5520</v>
      </c>
      <c r="N10" s="1" t="s">
        <v>15</v>
      </c>
      <c r="O10" s="2">
        <f t="shared" si="2"/>
        <v>30</v>
      </c>
    </row>
    <row r="11" spans="1:15" x14ac:dyDescent="0.25">
      <c r="A11" s="15" t="s">
        <v>17</v>
      </c>
      <c r="B11" s="5">
        <v>1596</v>
      </c>
      <c r="C11" s="6">
        <v>43749</v>
      </c>
      <c r="D11" s="5" t="str">
        <f>"0350120190800239900"</f>
        <v>0350120190800239900</v>
      </c>
      <c r="E11" s="6">
        <v>43537</v>
      </c>
      <c r="F11" s="6">
        <v>43750</v>
      </c>
      <c r="G11" s="6">
        <v>43572</v>
      </c>
      <c r="H11" s="5" t="s">
        <v>14</v>
      </c>
      <c r="I11" s="5">
        <v>293.79000000000002</v>
      </c>
      <c r="J11" s="5">
        <v>26.69</v>
      </c>
      <c r="K11" s="5">
        <v>267.10000000000002</v>
      </c>
      <c r="L11" s="7">
        <f t="shared" si="0"/>
        <v>178</v>
      </c>
      <c r="M11" s="16">
        <f t="shared" si="1"/>
        <v>47543.8</v>
      </c>
      <c r="N11" s="1" t="s">
        <v>15</v>
      </c>
      <c r="O11" s="2">
        <f t="shared" si="2"/>
        <v>35</v>
      </c>
    </row>
    <row r="12" spans="1:15" x14ac:dyDescent="0.25">
      <c r="A12" s="15" t="s">
        <v>17</v>
      </c>
      <c r="B12" s="5">
        <v>1596</v>
      </c>
      <c r="C12" s="6">
        <v>43749</v>
      </c>
      <c r="D12" s="5" t="str">
        <f>"0350120190800239600"</f>
        <v>0350120190800239600</v>
      </c>
      <c r="E12" s="6">
        <v>43537</v>
      </c>
      <c r="F12" s="6">
        <v>43750</v>
      </c>
      <c r="G12" s="6">
        <v>43572</v>
      </c>
      <c r="H12" s="5" t="s">
        <v>14</v>
      </c>
      <c r="I12" s="5">
        <v>110.18</v>
      </c>
      <c r="J12" s="5">
        <v>10.02</v>
      </c>
      <c r="K12" s="5">
        <v>100.16</v>
      </c>
      <c r="L12" s="7">
        <f t="shared" si="0"/>
        <v>178</v>
      </c>
      <c r="M12" s="16">
        <f t="shared" si="1"/>
        <v>17828.48</v>
      </c>
      <c r="N12" s="1" t="s">
        <v>15</v>
      </c>
      <c r="O12" s="2">
        <f t="shared" si="2"/>
        <v>35</v>
      </c>
    </row>
    <row r="13" spans="1:15" x14ac:dyDescent="0.25">
      <c r="A13" s="15" t="s">
        <v>17</v>
      </c>
      <c r="B13" s="5">
        <v>1596</v>
      </c>
      <c r="C13" s="6">
        <v>43749</v>
      </c>
      <c r="D13" s="5" t="str">
        <f>"0350120190800240300"</f>
        <v>0350120190800240300</v>
      </c>
      <c r="E13" s="6">
        <v>43537</v>
      </c>
      <c r="F13" s="6">
        <v>43750</v>
      </c>
      <c r="G13" s="6">
        <v>43572</v>
      </c>
      <c r="H13" s="5" t="s">
        <v>14</v>
      </c>
      <c r="I13" s="5">
        <v>22.23</v>
      </c>
      <c r="J13" s="5">
        <v>0.56999999999999995</v>
      </c>
      <c r="K13" s="5">
        <v>21.66</v>
      </c>
      <c r="L13" s="7">
        <f t="shared" si="0"/>
        <v>178</v>
      </c>
      <c r="M13" s="16">
        <f t="shared" si="1"/>
        <v>3855.48</v>
      </c>
      <c r="N13" s="1" t="s">
        <v>15</v>
      </c>
      <c r="O13" s="2">
        <f t="shared" si="2"/>
        <v>35</v>
      </c>
    </row>
    <row r="14" spans="1:15" x14ac:dyDescent="0.25">
      <c r="A14" s="15" t="s">
        <v>17</v>
      </c>
      <c r="B14" s="5">
        <v>1596</v>
      </c>
      <c r="C14" s="6">
        <v>43749</v>
      </c>
      <c r="D14" s="5" t="str">
        <f>"0350120190800239300"</f>
        <v>0350120190800239300</v>
      </c>
      <c r="E14" s="6">
        <v>43537</v>
      </c>
      <c r="F14" s="6">
        <v>43750</v>
      </c>
      <c r="G14" s="6">
        <v>43572</v>
      </c>
      <c r="H14" s="5" t="s">
        <v>14</v>
      </c>
      <c r="I14" s="5">
        <v>54.87</v>
      </c>
      <c r="J14" s="5">
        <v>4.99</v>
      </c>
      <c r="K14" s="5">
        <v>49.88</v>
      </c>
      <c r="L14" s="7">
        <f t="shared" si="0"/>
        <v>178</v>
      </c>
      <c r="M14" s="16">
        <f t="shared" si="1"/>
        <v>8878.6400000000012</v>
      </c>
      <c r="N14" s="1" t="s">
        <v>15</v>
      </c>
      <c r="O14" s="2">
        <f t="shared" si="2"/>
        <v>35</v>
      </c>
    </row>
    <row r="15" spans="1:15" x14ac:dyDescent="0.25">
      <c r="A15" s="15" t="s">
        <v>17</v>
      </c>
      <c r="B15" s="5">
        <v>1596</v>
      </c>
      <c r="C15" s="6">
        <v>43749</v>
      </c>
      <c r="D15" s="5" t="str">
        <f>"0350120190800239200"</f>
        <v>0350120190800239200</v>
      </c>
      <c r="E15" s="6">
        <v>43537</v>
      </c>
      <c r="F15" s="6">
        <v>43750</v>
      </c>
      <c r="G15" s="6">
        <v>43572</v>
      </c>
      <c r="H15" s="5" t="s">
        <v>14</v>
      </c>
      <c r="I15" s="5">
        <v>15.68</v>
      </c>
      <c r="J15" s="5">
        <v>1.43</v>
      </c>
      <c r="K15" s="5">
        <v>14.25</v>
      </c>
      <c r="L15" s="7">
        <f t="shared" si="0"/>
        <v>178</v>
      </c>
      <c r="M15" s="16">
        <f t="shared" si="1"/>
        <v>2536.5</v>
      </c>
      <c r="N15" s="1" t="s">
        <v>15</v>
      </c>
      <c r="O15" s="2">
        <f t="shared" si="2"/>
        <v>35</v>
      </c>
    </row>
    <row r="16" spans="1:15" x14ac:dyDescent="0.25">
      <c r="A16" s="15" t="s">
        <v>17</v>
      </c>
      <c r="B16" s="5">
        <v>1596</v>
      </c>
      <c r="C16" s="6">
        <v>43749</v>
      </c>
      <c r="D16" s="5" t="str">
        <f>"0350120190800239700"</f>
        <v>0350120190800239700</v>
      </c>
      <c r="E16" s="6">
        <v>43537</v>
      </c>
      <c r="F16" s="6">
        <v>43750</v>
      </c>
      <c r="G16" s="6">
        <v>43574</v>
      </c>
      <c r="H16" s="5" t="s">
        <v>14</v>
      </c>
      <c r="I16" s="5">
        <v>16.73</v>
      </c>
      <c r="J16" s="5">
        <v>1.52</v>
      </c>
      <c r="K16" s="5">
        <v>15.21</v>
      </c>
      <c r="L16" s="7">
        <f t="shared" si="0"/>
        <v>176</v>
      </c>
      <c r="M16" s="16">
        <f t="shared" si="1"/>
        <v>2676.96</v>
      </c>
      <c r="N16" s="1" t="s">
        <v>15</v>
      </c>
      <c r="O16" s="2">
        <f t="shared" si="2"/>
        <v>37</v>
      </c>
    </row>
    <row r="17" spans="1:15" x14ac:dyDescent="0.25">
      <c r="A17" s="15" t="s">
        <v>17</v>
      </c>
      <c r="B17" s="5">
        <v>1605</v>
      </c>
      <c r="C17" s="6">
        <v>43750</v>
      </c>
      <c r="D17" s="5" t="str">
        <f>"0350120190800294600"</f>
        <v>0350120190800294600</v>
      </c>
      <c r="E17" s="6">
        <v>43545</v>
      </c>
      <c r="F17" s="6">
        <v>43752</v>
      </c>
      <c r="G17" s="6">
        <v>43581</v>
      </c>
      <c r="H17" s="5" t="s">
        <v>14</v>
      </c>
      <c r="I17" s="5">
        <v>204.89</v>
      </c>
      <c r="J17" s="5">
        <v>18.63</v>
      </c>
      <c r="K17" s="5">
        <v>186.26</v>
      </c>
      <c r="L17" s="7">
        <f t="shared" si="0"/>
        <v>171</v>
      </c>
      <c r="M17" s="16">
        <f t="shared" si="1"/>
        <v>31850.46</v>
      </c>
      <c r="N17" s="1" t="s">
        <v>15</v>
      </c>
      <c r="O17" s="2">
        <f t="shared" si="2"/>
        <v>36</v>
      </c>
    </row>
    <row r="18" spans="1:15" x14ac:dyDescent="0.25">
      <c r="A18" s="15" t="s">
        <v>13</v>
      </c>
      <c r="B18" s="5">
        <v>2112</v>
      </c>
      <c r="C18" s="6">
        <v>43816</v>
      </c>
      <c r="D18" s="5" t="str">
        <f>"2019017065"</f>
        <v>2019017065</v>
      </c>
      <c r="E18" s="6">
        <v>43605</v>
      </c>
      <c r="F18" s="6">
        <v>43816</v>
      </c>
      <c r="G18" s="6">
        <v>43645</v>
      </c>
      <c r="H18" s="5" t="s">
        <v>14</v>
      </c>
      <c r="I18" s="5">
        <v>36.6</v>
      </c>
      <c r="J18" s="5">
        <v>6.6</v>
      </c>
      <c r="K18" s="5">
        <v>30</v>
      </c>
      <c r="L18" s="7">
        <f t="shared" si="0"/>
        <v>171</v>
      </c>
      <c r="M18" s="16">
        <f t="shared" si="1"/>
        <v>5130</v>
      </c>
      <c r="N18" s="1" t="s">
        <v>15</v>
      </c>
      <c r="O18" s="2">
        <f t="shared" si="2"/>
        <v>40</v>
      </c>
    </row>
    <row r="19" spans="1:15" x14ac:dyDescent="0.25">
      <c r="A19" s="15" t="s">
        <v>17</v>
      </c>
      <c r="B19" s="5">
        <v>1605</v>
      </c>
      <c r="C19" s="6">
        <v>43750</v>
      </c>
      <c r="D19" s="5" t="str">
        <f>"0350120180801316500"</f>
        <v>0350120180801316500</v>
      </c>
      <c r="E19" s="6">
        <v>43455</v>
      </c>
      <c r="F19" s="6">
        <v>43752</v>
      </c>
      <c r="G19" s="6">
        <v>43628</v>
      </c>
      <c r="H19" s="5" t="s">
        <v>14</v>
      </c>
      <c r="I19" s="5">
        <v>52.51</v>
      </c>
      <c r="J19" s="5">
        <v>4.7699999999999996</v>
      </c>
      <c r="K19" s="5">
        <v>47.74</v>
      </c>
      <c r="L19" s="7">
        <f t="shared" si="0"/>
        <v>124</v>
      </c>
      <c r="M19" s="16">
        <f t="shared" si="1"/>
        <v>5919.76</v>
      </c>
      <c r="N19" s="1" t="s">
        <v>15</v>
      </c>
      <c r="O19" s="2">
        <f t="shared" si="2"/>
        <v>173</v>
      </c>
    </row>
    <row r="20" spans="1:15" x14ac:dyDescent="0.25">
      <c r="A20" s="15" t="s">
        <v>17</v>
      </c>
      <c r="B20" s="5">
        <v>1597</v>
      </c>
      <c r="C20" s="6">
        <v>43750</v>
      </c>
      <c r="D20" s="5" t="str">
        <f>"0350120180801316600"</f>
        <v>0350120180801316600</v>
      </c>
      <c r="E20" s="6">
        <v>43455</v>
      </c>
      <c r="F20" s="6">
        <v>43750</v>
      </c>
      <c r="G20" s="6">
        <v>43628</v>
      </c>
      <c r="H20" s="5" t="s">
        <v>14</v>
      </c>
      <c r="I20" s="5">
        <v>1.4</v>
      </c>
      <c r="J20" s="5">
        <v>0.13</v>
      </c>
      <c r="K20" s="5">
        <v>1.27</v>
      </c>
      <c r="L20" s="7">
        <f t="shared" si="0"/>
        <v>122</v>
      </c>
      <c r="M20" s="16">
        <f t="shared" si="1"/>
        <v>154.94</v>
      </c>
      <c r="N20" s="1" t="s">
        <v>15</v>
      </c>
      <c r="O20" s="2">
        <f t="shared" si="2"/>
        <v>173</v>
      </c>
    </row>
    <row r="21" spans="1:15" x14ac:dyDescent="0.25">
      <c r="A21" s="15" t="s">
        <v>17</v>
      </c>
      <c r="B21" s="5">
        <v>1608</v>
      </c>
      <c r="C21" s="6">
        <v>43750</v>
      </c>
      <c r="D21" s="5" t="str">
        <f>"0350120180801316700"</f>
        <v>0350120180801316700</v>
      </c>
      <c r="E21" s="6">
        <v>43455</v>
      </c>
      <c r="F21" s="6">
        <v>43750</v>
      </c>
      <c r="G21" s="6">
        <v>43628</v>
      </c>
      <c r="H21" s="5" t="s">
        <v>14</v>
      </c>
      <c r="I21" s="5">
        <v>145.52000000000001</v>
      </c>
      <c r="J21" s="5">
        <v>13.23</v>
      </c>
      <c r="K21" s="5">
        <v>132.29</v>
      </c>
      <c r="L21" s="7">
        <f t="shared" si="0"/>
        <v>122</v>
      </c>
      <c r="M21" s="16">
        <f t="shared" si="1"/>
        <v>16139.38</v>
      </c>
      <c r="N21" s="1" t="s">
        <v>15</v>
      </c>
      <c r="O21" s="2">
        <f t="shared" si="2"/>
        <v>173</v>
      </c>
    </row>
    <row r="22" spans="1:15" x14ac:dyDescent="0.25">
      <c r="A22" s="15" t="s">
        <v>17</v>
      </c>
      <c r="B22" s="5">
        <v>1605</v>
      </c>
      <c r="C22" s="6">
        <v>43750</v>
      </c>
      <c r="D22" s="5" t="str">
        <f>"0350120190800672900"</f>
        <v>0350120190800672900</v>
      </c>
      <c r="E22" s="6">
        <v>43665</v>
      </c>
      <c r="F22" s="6">
        <v>43752</v>
      </c>
      <c r="G22" s="6">
        <v>43707</v>
      </c>
      <c r="H22" s="5" t="s">
        <v>14</v>
      </c>
      <c r="I22" s="5">
        <v>216</v>
      </c>
      <c r="J22" s="5">
        <v>19.64</v>
      </c>
      <c r="K22" s="5">
        <v>196.36</v>
      </c>
      <c r="L22" s="7">
        <f>+F22-G22</f>
        <v>45</v>
      </c>
      <c r="M22" s="16">
        <f t="shared" si="1"/>
        <v>8836.2000000000007</v>
      </c>
      <c r="N22" s="1" t="s">
        <v>15</v>
      </c>
      <c r="O22" s="2">
        <f t="shared" si="2"/>
        <v>42</v>
      </c>
    </row>
    <row r="23" spans="1:15" x14ac:dyDescent="0.25">
      <c r="A23" s="15" t="s">
        <v>18</v>
      </c>
      <c r="B23" s="5">
        <v>1841</v>
      </c>
      <c r="C23" s="6">
        <v>43792</v>
      </c>
      <c r="D23" s="5" t="str">
        <f>"41903763641"</f>
        <v>41903763641</v>
      </c>
      <c r="E23" s="6">
        <v>43732</v>
      </c>
      <c r="F23" s="6">
        <v>43792</v>
      </c>
      <c r="G23" s="6">
        <v>43767</v>
      </c>
      <c r="H23" s="5" t="s">
        <v>14</v>
      </c>
      <c r="I23" s="5">
        <v>46.09</v>
      </c>
      <c r="J23" s="5">
        <v>8.31</v>
      </c>
      <c r="K23" s="5">
        <v>37.78</v>
      </c>
      <c r="L23" s="7">
        <f t="shared" si="0"/>
        <v>25</v>
      </c>
      <c r="M23" s="16">
        <f t="shared" si="1"/>
        <v>944.5</v>
      </c>
      <c r="N23" s="1" t="s">
        <v>15</v>
      </c>
      <c r="O23" s="2">
        <f t="shared" si="2"/>
        <v>35</v>
      </c>
    </row>
    <row r="24" spans="1:15" x14ac:dyDescent="0.25">
      <c r="A24" s="15" t="s">
        <v>19</v>
      </c>
      <c r="B24" s="5">
        <v>1839</v>
      </c>
      <c r="C24" s="6">
        <v>43792</v>
      </c>
      <c r="D24" s="5" t="s">
        <v>20</v>
      </c>
      <c r="E24" s="6">
        <v>43739</v>
      </c>
      <c r="F24" s="6">
        <v>43792</v>
      </c>
      <c r="G24" s="6">
        <v>43771</v>
      </c>
      <c r="H24" s="5" t="s">
        <v>14</v>
      </c>
      <c r="I24" s="5">
        <v>451.17</v>
      </c>
      <c r="J24" s="5">
        <v>81.36</v>
      </c>
      <c r="K24" s="5">
        <v>369.81</v>
      </c>
      <c r="L24" s="7">
        <f t="shared" si="0"/>
        <v>21</v>
      </c>
      <c r="M24" s="16">
        <f t="shared" si="1"/>
        <v>7766.01</v>
      </c>
      <c r="N24" s="1" t="s">
        <v>15</v>
      </c>
      <c r="O24" s="2">
        <f t="shared" si="2"/>
        <v>32</v>
      </c>
    </row>
    <row r="25" spans="1:15" x14ac:dyDescent="0.25">
      <c r="A25" s="15" t="s">
        <v>19</v>
      </c>
      <c r="B25" s="5">
        <v>1833</v>
      </c>
      <c r="C25" s="6">
        <v>43791</v>
      </c>
      <c r="D25" s="5" t="s">
        <v>21</v>
      </c>
      <c r="E25" s="6">
        <v>43739</v>
      </c>
      <c r="F25" s="6">
        <v>43792</v>
      </c>
      <c r="G25" s="6">
        <v>43771</v>
      </c>
      <c r="H25" s="5" t="s">
        <v>14</v>
      </c>
      <c r="I25" s="5">
        <v>459.39</v>
      </c>
      <c r="J25" s="5">
        <v>82.84</v>
      </c>
      <c r="K25" s="5">
        <v>376.55</v>
      </c>
      <c r="L25" s="7">
        <f t="shared" si="0"/>
        <v>21</v>
      </c>
      <c r="M25" s="16">
        <f t="shared" si="1"/>
        <v>7907.55</v>
      </c>
      <c r="N25" s="1" t="s">
        <v>15</v>
      </c>
      <c r="O25" s="2">
        <f t="shared" si="2"/>
        <v>32</v>
      </c>
    </row>
    <row r="26" spans="1:15" x14ac:dyDescent="0.25">
      <c r="A26" s="15" t="s">
        <v>19</v>
      </c>
      <c r="B26" s="5">
        <v>1835</v>
      </c>
      <c r="C26" s="6">
        <v>43792</v>
      </c>
      <c r="D26" s="5" t="s">
        <v>22</v>
      </c>
      <c r="E26" s="6">
        <v>43739</v>
      </c>
      <c r="F26" s="6">
        <v>43792</v>
      </c>
      <c r="G26" s="6">
        <v>43771</v>
      </c>
      <c r="H26" s="5" t="s">
        <v>14</v>
      </c>
      <c r="I26" s="5">
        <v>390.38</v>
      </c>
      <c r="J26" s="5">
        <v>70.400000000000006</v>
      </c>
      <c r="K26" s="5">
        <v>319.98</v>
      </c>
      <c r="L26" s="7">
        <f t="shared" si="0"/>
        <v>21</v>
      </c>
      <c r="M26" s="16">
        <f t="shared" si="1"/>
        <v>6719.58</v>
      </c>
      <c r="N26" s="1" t="s">
        <v>15</v>
      </c>
      <c r="O26" s="2">
        <f>+G26-E26</f>
        <v>32</v>
      </c>
    </row>
    <row r="27" spans="1:15" x14ac:dyDescent="0.25">
      <c r="A27" s="15" t="s">
        <v>19</v>
      </c>
      <c r="B27" s="5">
        <v>1830</v>
      </c>
      <c r="C27" s="6">
        <v>43791</v>
      </c>
      <c r="D27" s="5" t="s">
        <v>23</v>
      </c>
      <c r="E27" s="6">
        <v>43739</v>
      </c>
      <c r="F27" s="6">
        <v>43792</v>
      </c>
      <c r="G27" s="6">
        <v>43771</v>
      </c>
      <c r="H27" s="5" t="s">
        <v>14</v>
      </c>
      <c r="I27" s="5">
        <v>701.99</v>
      </c>
      <c r="J27" s="5">
        <v>126.59</v>
      </c>
      <c r="K27" s="5">
        <v>575.4</v>
      </c>
      <c r="L27" s="7">
        <f t="shared" si="0"/>
        <v>21</v>
      </c>
      <c r="M27" s="16">
        <f t="shared" si="1"/>
        <v>12083.4</v>
      </c>
      <c r="N27" s="1" t="s">
        <v>15</v>
      </c>
      <c r="O27" s="2">
        <f t="shared" si="2"/>
        <v>32</v>
      </c>
    </row>
    <row r="28" spans="1:15" x14ac:dyDescent="0.25">
      <c r="A28" s="15" t="s">
        <v>19</v>
      </c>
      <c r="B28" s="5">
        <v>1837</v>
      </c>
      <c r="C28" s="6">
        <v>43792</v>
      </c>
      <c r="D28" s="5" t="s">
        <v>24</v>
      </c>
      <c r="E28" s="6">
        <v>43739</v>
      </c>
      <c r="F28" s="6">
        <v>43792</v>
      </c>
      <c r="G28" s="6">
        <v>43771</v>
      </c>
      <c r="H28" s="5" t="s">
        <v>14</v>
      </c>
      <c r="I28" s="5">
        <v>837.14</v>
      </c>
      <c r="J28" s="5">
        <v>150.96</v>
      </c>
      <c r="K28" s="5">
        <v>686.18</v>
      </c>
      <c r="L28" s="7">
        <f t="shared" si="0"/>
        <v>21</v>
      </c>
      <c r="M28" s="16">
        <f t="shared" si="1"/>
        <v>14409.779999999999</v>
      </c>
      <c r="N28" s="1" t="s">
        <v>15</v>
      </c>
      <c r="O28" s="2">
        <f t="shared" si="2"/>
        <v>32</v>
      </c>
    </row>
    <row r="29" spans="1:15" x14ac:dyDescent="0.25">
      <c r="A29" s="15" t="s">
        <v>19</v>
      </c>
      <c r="B29" s="5">
        <v>1836</v>
      </c>
      <c r="C29" s="6">
        <v>43792</v>
      </c>
      <c r="D29" s="5" t="s">
        <v>25</v>
      </c>
      <c r="E29" s="6">
        <v>43739</v>
      </c>
      <c r="F29" s="6">
        <v>43792</v>
      </c>
      <c r="G29" s="6">
        <v>43771</v>
      </c>
      <c r="H29" s="5" t="s">
        <v>14</v>
      </c>
      <c r="I29" s="5">
        <v>188.54</v>
      </c>
      <c r="J29" s="5">
        <v>34</v>
      </c>
      <c r="K29" s="5">
        <v>154.54</v>
      </c>
      <c r="L29" s="7">
        <f t="shared" si="0"/>
        <v>21</v>
      </c>
      <c r="M29" s="16">
        <f t="shared" si="1"/>
        <v>3245.3399999999997</v>
      </c>
      <c r="N29" s="1" t="s">
        <v>15</v>
      </c>
      <c r="O29" s="2">
        <f t="shared" si="2"/>
        <v>32</v>
      </c>
    </row>
    <row r="30" spans="1:15" x14ac:dyDescent="0.25">
      <c r="A30" s="15" t="s">
        <v>19</v>
      </c>
      <c r="B30" s="5">
        <v>1838</v>
      </c>
      <c r="C30" s="6">
        <v>43792</v>
      </c>
      <c r="D30" s="5" t="s">
        <v>26</v>
      </c>
      <c r="E30" s="6">
        <v>43739</v>
      </c>
      <c r="F30" s="6">
        <v>43792</v>
      </c>
      <c r="G30" s="6">
        <v>43771</v>
      </c>
      <c r="H30" s="5" t="s">
        <v>14</v>
      </c>
      <c r="I30" s="5">
        <v>325.83999999999997</v>
      </c>
      <c r="J30" s="5">
        <v>58.76</v>
      </c>
      <c r="K30" s="5">
        <v>267.08</v>
      </c>
      <c r="L30" s="7">
        <f t="shared" si="0"/>
        <v>21</v>
      </c>
      <c r="M30" s="16">
        <f t="shared" si="1"/>
        <v>5608.6799999999994</v>
      </c>
      <c r="N30" s="1" t="s">
        <v>15</v>
      </c>
      <c r="O30" s="2">
        <f t="shared" si="2"/>
        <v>32</v>
      </c>
    </row>
    <row r="31" spans="1:15" x14ac:dyDescent="0.25">
      <c r="A31" s="15" t="s">
        <v>19</v>
      </c>
      <c r="B31" s="5">
        <v>1832</v>
      </c>
      <c r="C31" s="6">
        <v>43791</v>
      </c>
      <c r="D31" s="5" t="s">
        <v>27</v>
      </c>
      <c r="E31" s="6">
        <v>43739</v>
      </c>
      <c r="F31" s="6">
        <v>43792</v>
      </c>
      <c r="G31" s="6">
        <v>43771</v>
      </c>
      <c r="H31" s="5" t="s">
        <v>14</v>
      </c>
      <c r="I31" s="8">
        <v>2862.71</v>
      </c>
      <c r="J31" s="5">
        <v>516.23</v>
      </c>
      <c r="K31" s="8">
        <v>2346.48</v>
      </c>
      <c r="L31" s="7">
        <f t="shared" si="0"/>
        <v>21</v>
      </c>
      <c r="M31" s="16">
        <f t="shared" si="1"/>
        <v>49276.08</v>
      </c>
      <c r="N31" s="1" t="s">
        <v>15</v>
      </c>
      <c r="O31" s="2">
        <f t="shared" si="2"/>
        <v>32</v>
      </c>
    </row>
    <row r="32" spans="1:15" x14ac:dyDescent="0.25">
      <c r="A32" s="15" t="s">
        <v>19</v>
      </c>
      <c r="B32" s="5">
        <v>1831</v>
      </c>
      <c r="C32" s="6">
        <v>43791</v>
      </c>
      <c r="D32" s="5" t="s">
        <v>28</v>
      </c>
      <c r="E32" s="6">
        <v>43739</v>
      </c>
      <c r="F32" s="6">
        <v>43792</v>
      </c>
      <c r="G32" s="6">
        <v>43771</v>
      </c>
      <c r="H32" s="5" t="s">
        <v>14</v>
      </c>
      <c r="I32" s="5">
        <v>672.98</v>
      </c>
      <c r="J32" s="5">
        <v>121.36</v>
      </c>
      <c r="K32" s="5">
        <v>551.62</v>
      </c>
      <c r="L32" s="7">
        <f t="shared" si="0"/>
        <v>21</v>
      </c>
      <c r="M32" s="16">
        <f t="shared" si="1"/>
        <v>11584.02</v>
      </c>
      <c r="N32" s="1" t="s">
        <v>15</v>
      </c>
      <c r="O32" s="2">
        <f t="shared" si="2"/>
        <v>32</v>
      </c>
    </row>
    <row r="33" spans="1:15" x14ac:dyDescent="0.25">
      <c r="A33" s="15" t="s">
        <v>19</v>
      </c>
      <c r="B33" s="5">
        <v>1834</v>
      </c>
      <c r="C33" s="6">
        <v>43792</v>
      </c>
      <c r="D33" s="5" t="s">
        <v>29</v>
      </c>
      <c r="E33" s="6">
        <v>43739</v>
      </c>
      <c r="F33" s="6">
        <v>43792</v>
      </c>
      <c r="G33" s="6">
        <v>43771</v>
      </c>
      <c r="H33" s="5" t="s">
        <v>14</v>
      </c>
      <c r="I33" s="5">
        <v>359.44</v>
      </c>
      <c r="J33" s="5">
        <v>64.819999999999993</v>
      </c>
      <c r="K33" s="5">
        <v>294.62</v>
      </c>
      <c r="L33" s="7">
        <f t="shared" si="0"/>
        <v>21</v>
      </c>
      <c r="M33" s="16">
        <f t="shared" si="1"/>
        <v>6187.02</v>
      </c>
      <c r="N33" s="1" t="s">
        <v>15</v>
      </c>
      <c r="O33" s="2">
        <f t="shared" si="2"/>
        <v>32</v>
      </c>
    </row>
    <row r="34" spans="1:15" x14ac:dyDescent="0.25">
      <c r="A34" s="15" t="s">
        <v>19</v>
      </c>
      <c r="B34" s="5">
        <v>1829</v>
      </c>
      <c r="C34" s="6">
        <v>43791</v>
      </c>
      <c r="D34" s="5" t="s">
        <v>30</v>
      </c>
      <c r="E34" s="6">
        <v>43739</v>
      </c>
      <c r="F34" s="6">
        <v>43792</v>
      </c>
      <c r="G34" s="6">
        <v>43771</v>
      </c>
      <c r="H34" s="5" t="s">
        <v>14</v>
      </c>
      <c r="I34" s="5">
        <v>475.39</v>
      </c>
      <c r="J34" s="5">
        <v>85.73</v>
      </c>
      <c r="K34" s="5">
        <v>389.66</v>
      </c>
      <c r="L34" s="7">
        <f t="shared" si="0"/>
        <v>21</v>
      </c>
      <c r="M34" s="16">
        <f t="shared" si="1"/>
        <v>8182.8600000000006</v>
      </c>
      <c r="N34" s="1" t="s">
        <v>15</v>
      </c>
      <c r="O34" s="2">
        <f t="shared" si="2"/>
        <v>32</v>
      </c>
    </row>
    <row r="35" spans="1:15" x14ac:dyDescent="0.25">
      <c r="A35" s="15" t="s">
        <v>31</v>
      </c>
      <c r="B35" s="5">
        <v>1671</v>
      </c>
      <c r="C35" s="6">
        <v>43760</v>
      </c>
      <c r="D35" s="5" t="str">
        <f>"32"</f>
        <v>32</v>
      </c>
      <c r="E35" s="6">
        <v>43715</v>
      </c>
      <c r="F35" s="6">
        <v>43760</v>
      </c>
      <c r="G35" s="6">
        <v>43746</v>
      </c>
      <c r="H35" s="5" t="s">
        <v>14</v>
      </c>
      <c r="I35" s="8">
        <v>1193.1600000000001</v>
      </c>
      <c r="J35" s="5">
        <v>215.16</v>
      </c>
      <c r="K35" s="5">
        <v>978</v>
      </c>
      <c r="L35" s="7">
        <f t="shared" si="0"/>
        <v>14</v>
      </c>
      <c r="M35" s="16">
        <f t="shared" si="1"/>
        <v>13692</v>
      </c>
      <c r="N35" s="1" t="s">
        <v>15</v>
      </c>
      <c r="O35" s="2">
        <f t="shared" si="2"/>
        <v>31</v>
      </c>
    </row>
    <row r="36" spans="1:15" x14ac:dyDescent="0.25">
      <c r="A36" s="15" t="s">
        <v>32</v>
      </c>
      <c r="B36" s="5">
        <v>1673</v>
      </c>
      <c r="C36" s="6">
        <v>43760</v>
      </c>
      <c r="D36" s="5" t="s">
        <v>33</v>
      </c>
      <c r="E36" s="6">
        <v>43708</v>
      </c>
      <c r="F36" s="6">
        <v>43760</v>
      </c>
      <c r="G36" s="6">
        <v>43748</v>
      </c>
      <c r="H36" s="5" t="s">
        <v>14</v>
      </c>
      <c r="I36" s="5">
        <v>863.76</v>
      </c>
      <c r="J36" s="5">
        <v>155.76</v>
      </c>
      <c r="K36" s="5">
        <v>708</v>
      </c>
      <c r="L36" s="7">
        <f t="shared" si="0"/>
        <v>12</v>
      </c>
      <c r="M36" s="16">
        <f t="shared" si="1"/>
        <v>8496</v>
      </c>
      <c r="N36" s="1" t="s">
        <v>15</v>
      </c>
      <c r="O36" s="2">
        <f t="shared" si="2"/>
        <v>40</v>
      </c>
    </row>
    <row r="37" spans="1:15" x14ac:dyDescent="0.25">
      <c r="A37" s="15" t="s">
        <v>13</v>
      </c>
      <c r="B37" s="5">
        <v>1591</v>
      </c>
      <c r="C37" s="6">
        <v>43741</v>
      </c>
      <c r="D37" s="5" t="str">
        <f>"2019020946"</f>
        <v>2019020946</v>
      </c>
      <c r="E37" s="6">
        <v>43621</v>
      </c>
      <c r="F37" s="6">
        <v>43741</v>
      </c>
      <c r="G37" s="6">
        <v>43738</v>
      </c>
      <c r="H37" s="5" t="s">
        <v>14</v>
      </c>
      <c r="I37" s="5">
        <v>33.24</v>
      </c>
      <c r="J37" s="5">
        <v>5.99</v>
      </c>
      <c r="K37" s="5">
        <v>27.25</v>
      </c>
      <c r="L37" s="7">
        <f>+F37-G37</f>
        <v>3</v>
      </c>
      <c r="M37" s="16">
        <f t="shared" si="1"/>
        <v>81.75</v>
      </c>
      <c r="N37" s="1" t="s">
        <v>15</v>
      </c>
      <c r="O37" s="2">
        <f t="shared" si="2"/>
        <v>117</v>
      </c>
    </row>
    <row r="38" spans="1:15" x14ac:dyDescent="0.25">
      <c r="A38" s="15" t="s">
        <v>13</v>
      </c>
      <c r="B38" s="5">
        <v>1591</v>
      </c>
      <c r="C38" s="6">
        <v>43741</v>
      </c>
      <c r="D38" s="5" t="str">
        <f>"2019020945"</f>
        <v>2019020945</v>
      </c>
      <c r="E38" s="6">
        <v>43621</v>
      </c>
      <c r="F38" s="6">
        <v>43741</v>
      </c>
      <c r="G38" s="6">
        <v>43738</v>
      </c>
      <c r="H38" s="5" t="s">
        <v>14</v>
      </c>
      <c r="I38" s="5">
        <v>33.24</v>
      </c>
      <c r="J38" s="5">
        <v>5.99</v>
      </c>
      <c r="K38" s="5">
        <v>27.25</v>
      </c>
      <c r="L38" s="7">
        <f t="shared" si="0"/>
        <v>3</v>
      </c>
      <c r="M38" s="16">
        <f t="shared" si="1"/>
        <v>81.75</v>
      </c>
      <c r="N38" s="1" t="s">
        <v>15</v>
      </c>
      <c r="O38" s="2">
        <f t="shared" si="2"/>
        <v>117</v>
      </c>
    </row>
    <row r="39" spans="1:15" x14ac:dyDescent="0.25">
      <c r="A39" s="15" t="s">
        <v>13</v>
      </c>
      <c r="B39" s="5">
        <v>1591</v>
      </c>
      <c r="C39" s="6">
        <v>43741</v>
      </c>
      <c r="D39" s="5" t="str">
        <f>"2019020947"</f>
        <v>2019020947</v>
      </c>
      <c r="E39" s="6">
        <v>43621</v>
      </c>
      <c r="F39" s="6">
        <v>43741</v>
      </c>
      <c r="G39" s="6">
        <v>43738</v>
      </c>
      <c r="H39" s="5" t="s">
        <v>14</v>
      </c>
      <c r="I39" s="5">
        <v>33.24</v>
      </c>
      <c r="J39" s="5">
        <v>5.99</v>
      </c>
      <c r="K39" s="5">
        <v>27.25</v>
      </c>
      <c r="L39" s="7">
        <f t="shared" si="0"/>
        <v>3</v>
      </c>
      <c r="M39" s="16">
        <f t="shared" si="1"/>
        <v>81.75</v>
      </c>
      <c r="N39" s="1" t="s">
        <v>15</v>
      </c>
      <c r="O39" s="2">
        <f t="shared" si="2"/>
        <v>117</v>
      </c>
    </row>
    <row r="40" spans="1:15" x14ac:dyDescent="0.25">
      <c r="A40" s="15" t="s">
        <v>34</v>
      </c>
      <c r="B40" s="5">
        <v>1954</v>
      </c>
      <c r="C40" s="6">
        <v>43806</v>
      </c>
      <c r="D40" s="5" t="s">
        <v>35</v>
      </c>
      <c r="E40" s="6">
        <v>43760</v>
      </c>
      <c r="F40" s="6">
        <v>43806</v>
      </c>
      <c r="G40" s="6">
        <v>43803</v>
      </c>
      <c r="H40" s="5" t="s">
        <v>14</v>
      </c>
      <c r="I40" s="5">
        <v>80</v>
      </c>
      <c r="J40" s="5">
        <v>0</v>
      </c>
      <c r="K40" s="5">
        <v>80</v>
      </c>
      <c r="L40" s="7">
        <f t="shared" si="0"/>
        <v>3</v>
      </c>
      <c r="M40" s="16">
        <f t="shared" si="1"/>
        <v>240</v>
      </c>
      <c r="N40" s="1" t="s">
        <v>15</v>
      </c>
      <c r="O40" s="2">
        <f t="shared" si="2"/>
        <v>43</v>
      </c>
    </row>
    <row r="41" spans="1:15" ht="25.5" x14ac:dyDescent="0.25">
      <c r="A41" s="15" t="s">
        <v>160</v>
      </c>
      <c r="B41" s="5">
        <v>1840</v>
      </c>
      <c r="C41" s="6">
        <v>43792</v>
      </c>
      <c r="D41" s="5" t="str">
        <f>"8019137298"</f>
        <v>8019137298</v>
      </c>
      <c r="E41" s="6">
        <v>43762</v>
      </c>
      <c r="F41" s="6">
        <v>43792</v>
      </c>
      <c r="G41" s="6">
        <v>43792</v>
      </c>
      <c r="H41" s="5" t="s">
        <v>14</v>
      </c>
      <c r="I41" s="5">
        <v>3.51</v>
      </c>
      <c r="J41" s="5">
        <v>3.51</v>
      </c>
      <c r="K41" s="5">
        <v>0</v>
      </c>
      <c r="L41" s="7">
        <f t="shared" si="0"/>
        <v>0</v>
      </c>
      <c r="M41" s="16">
        <f t="shared" si="1"/>
        <v>0</v>
      </c>
      <c r="N41" s="1" t="s">
        <v>15</v>
      </c>
      <c r="O41" s="2">
        <f t="shared" si="2"/>
        <v>30</v>
      </c>
    </row>
    <row r="42" spans="1:15" x14ac:dyDescent="0.25">
      <c r="A42" s="15" t="s">
        <v>36</v>
      </c>
      <c r="B42" s="5">
        <v>1670</v>
      </c>
      <c r="C42" s="6">
        <v>43760</v>
      </c>
      <c r="D42" s="5" t="s">
        <v>37</v>
      </c>
      <c r="E42" s="6">
        <v>43729</v>
      </c>
      <c r="F42" s="6">
        <v>43760</v>
      </c>
      <c r="G42" s="6">
        <v>43761</v>
      </c>
      <c r="H42" s="5" t="s">
        <v>14</v>
      </c>
      <c r="I42" s="8">
        <v>2430.2399999999998</v>
      </c>
      <c r="J42" s="5">
        <v>438.24</v>
      </c>
      <c r="K42" s="8">
        <v>1992</v>
      </c>
      <c r="L42" s="7">
        <f t="shared" si="0"/>
        <v>-1</v>
      </c>
      <c r="M42" s="16">
        <f t="shared" si="1"/>
        <v>-1992</v>
      </c>
      <c r="N42" s="1" t="s">
        <v>15</v>
      </c>
      <c r="O42" s="2">
        <f>+G42-E42</f>
        <v>32</v>
      </c>
    </row>
    <row r="43" spans="1:15" x14ac:dyDescent="0.25">
      <c r="A43" s="15" t="s">
        <v>36</v>
      </c>
      <c r="B43" s="5">
        <v>1669</v>
      </c>
      <c r="C43" s="6">
        <v>43760</v>
      </c>
      <c r="D43" s="5" t="s">
        <v>38</v>
      </c>
      <c r="E43" s="6">
        <v>43729</v>
      </c>
      <c r="F43" s="6">
        <v>43760</v>
      </c>
      <c r="G43" s="6">
        <v>43761</v>
      </c>
      <c r="H43" s="5" t="s">
        <v>14</v>
      </c>
      <c r="I43" s="8">
        <v>3743.05</v>
      </c>
      <c r="J43" s="5">
        <v>674.98</v>
      </c>
      <c r="K43" s="8">
        <v>3068.07</v>
      </c>
      <c r="L43" s="7">
        <f t="shared" si="0"/>
        <v>-1</v>
      </c>
      <c r="M43" s="16">
        <f t="shared" si="1"/>
        <v>-3068.07</v>
      </c>
      <c r="N43" s="1" t="s">
        <v>15</v>
      </c>
      <c r="O43" s="2">
        <f t="shared" si="2"/>
        <v>32</v>
      </c>
    </row>
    <row r="44" spans="1:15" x14ac:dyDescent="0.25">
      <c r="A44" s="15" t="s">
        <v>18</v>
      </c>
      <c r="B44" s="5">
        <v>1841</v>
      </c>
      <c r="C44" s="6">
        <v>43792</v>
      </c>
      <c r="D44" s="5" t="str">
        <f>"41903961124"</f>
        <v>41903961124</v>
      </c>
      <c r="E44" s="6">
        <v>43760</v>
      </c>
      <c r="F44" s="6">
        <v>43792</v>
      </c>
      <c r="G44" s="6">
        <v>43795</v>
      </c>
      <c r="H44" s="5" t="s">
        <v>14</v>
      </c>
      <c r="I44" s="5">
        <v>134.52000000000001</v>
      </c>
      <c r="J44" s="5">
        <v>24.26</v>
      </c>
      <c r="K44" s="5">
        <v>110.26</v>
      </c>
      <c r="L44" s="7">
        <f t="shared" si="0"/>
        <v>-3</v>
      </c>
      <c r="M44" s="16">
        <f t="shared" si="1"/>
        <v>-330.78000000000003</v>
      </c>
      <c r="N44" s="1" t="s">
        <v>15</v>
      </c>
      <c r="O44" s="2">
        <f t="shared" si="2"/>
        <v>35</v>
      </c>
    </row>
    <row r="45" spans="1:15" x14ac:dyDescent="0.25">
      <c r="A45" s="15" t="s">
        <v>17</v>
      </c>
      <c r="B45" s="5">
        <v>1605</v>
      </c>
      <c r="C45" s="6">
        <v>43750</v>
      </c>
      <c r="D45" s="5" t="str">
        <f>"0350120190800904000"</f>
        <v>0350120190800904000</v>
      </c>
      <c r="E45" s="6">
        <v>43719</v>
      </c>
      <c r="F45" s="6">
        <v>43752</v>
      </c>
      <c r="G45" s="6">
        <v>43756</v>
      </c>
      <c r="H45" s="5" t="s">
        <v>14</v>
      </c>
      <c r="I45" s="5">
        <v>85.84</v>
      </c>
      <c r="J45" s="5">
        <v>7.8</v>
      </c>
      <c r="K45" s="5">
        <v>78.040000000000006</v>
      </c>
      <c r="L45" s="7">
        <f t="shared" si="0"/>
        <v>-4</v>
      </c>
      <c r="M45" s="16">
        <f t="shared" si="1"/>
        <v>-312.16000000000003</v>
      </c>
      <c r="N45" s="1" t="s">
        <v>15</v>
      </c>
      <c r="O45" s="2">
        <f t="shared" si="2"/>
        <v>37</v>
      </c>
    </row>
    <row r="46" spans="1:15" x14ac:dyDescent="0.25">
      <c r="A46" s="15" t="s">
        <v>39</v>
      </c>
      <c r="B46" s="5">
        <v>1779</v>
      </c>
      <c r="C46" s="6">
        <v>43778</v>
      </c>
      <c r="D46" s="5" t="s">
        <v>40</v>
      </c>
      <c r="E46" s="6">
        <v>43739</v>
      </c>
      <c r="F46" s="6">
        <v>43778</v>
      </c>
      <c r="G46" s="6">
        <v>43782</v>
      </c>
      <c r="H46" s="5" t="s">
        <v>14</v>
      </c>
      <c r="I46" s="5">
        <v>250.1</v>
      </c>
      <c r="J46" s="5">
        <v>45.1</v>
      </c>
      <c r="K46" s="5">
        <v>205</v>
      </c>
      <c r="L46" s="7">
        <f t="shared" si="0"/>
        <v>-4</v>
      </c>
      <c r="M46" s="16">
        <f t="shared" si="1"/>
        <v>-820</v>
      </c>
      <c r="N46" s="1" t="s">
        <v>15</v>
      </c>
      <c r="O46" s="2">
        <f t="shared" si="2"/>
        <v>43</v>
      </c>
    </row>
    <row r="47" spans="1:15" ht="25.5" x14ac:dyDescent="0.25">
      <c r="A47" s="15" t="s">
        <v>41</v>
      </c>
      <c r="B47" s="5">
        <v>1974</v>
      </c>
      <c r="C47" s="6">
        <v>43812</v>
      </c>
      <c r="D47" s="5" t="str">
        <f>"11"</f>
        <v>11</v>
      </c>
      <c r="E47" s="6">
        <v>43788</v>
      </c>
      <c r="F47" s="6">
        <v>43813</v>
      </c>
      <c r="G47" s="6">
        <v>43818</v>
      </c>
      <c r="H47" s="5" t="s">
        <v>14</v>
      </c>
      <c r="I47" s="8">
        <v>3279.85</v>
      </c>
      <c r="J47" s="5">
        <v>0</v>
      </c>
      <c r="K47" s="8">
        <v>3279.85</v>
      </c>
      <c r="L47" s="7">
        <f t="shared" si="0"/>
        <v>-5</v>
      </c>
      <c r="M47" s="16">
        <f t="shared" si="1"/>
        <v>-16399.25</v>
      </c>
      <c r="N47" s="1" t="s">
        <v>15</v>
      </c>
      <c r="O47" s="2">
        <f t="shared" si="2"/>
        <v>30</v>
      </c>
    </row>
    <row r="48" spans="1:15" x14ac:dyDescent="0.25">
      <c r="A48" s="15" t="s">
        <v>17</v>
      </c>
      <c r="B48" s="5">
        <v>1596</v>
      </c>
      <c r="C48" s="6">
        <v>43749</v>
      </c>
      <c r="D48" s="5" t="str">
        <f>"0350120190800904200"</f>
        <v>0350120190800904200</v>
      </c>
      <c r="E48" s="6">
        <v>43719</v>
      </c>
      <c r="F48" s="6">
        <v>43750</v>
      </c>
      <c r="G48" s="6">
        <v>43756</v>
      </c>
      <c r="H48" s="5" t="s">
        <v>14</v>
      </c>
      <c r="I48" s="5">
        <v>9.7799999999999994</v>
      </c>
      <c r="J48" s="5">
        <v>0.89</v>
      </c>
      <c r="K48" s="5">
        <v>8.89</v>
      </c>
      <c r="L48" s="7">
        <f t="shared" si="0"/>
        <v>-6</v>
      </c>
      <c r="M48" s="16">
        <f t="shared" si="1"/>
        <v>-53.34</v>
      </c>
      <c r="N48" s="1" t="s">
        <v>15</v>
      </c>
      <c r="O48" s="2">
        <f t="shared" si="2"/>
        <v>37</v>
      </c>
    </row>
    <row r="49" spans="1:15" x14ac:dyDescent="0.25">
      <c r="A49" s="15" t="s">
        <v>17</v>
      </c>
      <c r="B49" s="5">
        <v>1597</v>
      </c>
      <c r="C49" s="6">
        <v>43750</v>
      </c>
      <c r="D49" s="5" t="str">
        <f>"0350120190800905100"</f>
        <v>0350120190800905100</v>
      </c>
      <c r="E49" s="6">
        <v>43719</v>
      </c>
      <c r="F49" s="6">
        <v>43750</v>
      </c>
      <c r="G49" s="6">
        <v>43756</v>
      </c>
      <c r="H49" s="5" t="s">
        <v>14</v>
      </c>
      <c r="I49" s="5">
        <v>1.46</v>
      </c>
      <c r="J49" s="5">
        <v>0.13</v>
      </c>
      <c r="K49" s="5">
        <v>1.33</v>
      </c>
      <c r="L49" s="7">
        <f t="shared" si="0"/>
        <v>-6</v>
      </c>
      <c r="M49" s="16">
        <f t="shared" si="1"/>
        <v>-7.98</v>
      </c>
      <c r="N49" s="1" t="s">
        <v>15</v>
      </c>
      <c r="O49" s="2">
        <f t="shared" si="2"/>
        <v>37</v>
      </c>
    </row>
    <row r="50" spans="1:15" x14ac:dyDescent="0.25">
      <c r="A50" s="15" t="s">
        <v>17</v>
      </c>
      <c r="B50" s="5">
        <v>1606</v>
      </c>
      <c r="C50" s="6">
        <v>43750</v>
      </c>
      <c r="D50" s="5" t="str">
        <f>"0350120190800908000"</f>
        <v>0350120190800908000</v>
      </c>
      <c r="E50" s="6">
        <v>43719</v>
      </c>
      <c r="F50" s="6">
        <v>43750</v>
      </c>
      <c r="G50" s="6">
        <v>43756</v>
      </c>
      <c r="H50" s="5" t="s">
        <v>14</v>
      </c>
      <c r="I50" s="5">
        <v>26.66</v>
      </c>
      <c r="J50" s="5">
        <v>2.42</v>
      </c>
      <c r="K50" s="5">
        <v>24.24</v>
      </c>
      <c r="L50" s="7">
        <f t="shared" si="0"/>
        <v>-6</v>
      </c>
      <c r="M50" s="16">
        <f t="shared" si="1"/>
        <v>-145.44</v>
      </c>
      <c r="N50" s="1" t="s">
        <v>15</v>
      </c>
      <c r="O50" s="2">
        <f t="shared" si="2"/>
        <v>37</v>
      </c>
    </row>
    <row r="51" spans="1:15" x14ac:dyDescent="0.25">
      <c r="A51" s="15" t="s">
        <v>17</v>
      </c>
      <c r="B51" s="5">
        <v>1597</v>
      </c>
      <c r="C51" s="6">
        <v>43750</v>
      </c>
      <c r="D51" s="5" t="str">
        <f>"0350120190800905200"</f>
        <v>0350120190800905200</v>
      </c>
      <c r="E51" s="6">
        <v>43719</v>
      </c>
      <c r="F51" s="6">
        <v>43750</v>
      </c>
      <c r="G51" s="6">
        <v>43756</v>
      </c>
      <c r="H51" s="5" t="s">
        <v>14</v>
      </c>
      <c r="I51" s="5">
        <v>225.92</v>
      </c>
      <c r="J51" s="5">
        <v>20.54</v>
      </c>
      <c r="K51" s="5">
        <v>205.38</v>
      </c>
      <c r="L51" s="7">
        <f t="shared" si="0"/>
        <v>-6</v>
      </c>
      <c r="M51" s="16">
        <f t="shared" si="1"/>
        <v>-1232.28</v>
      </c>
      <c r="N51" s="1" t="s">
        <v>15</v>
      </c>
      <c r="O51" s="2">
        <f t="shared" si="2"/>
        <v>37</v>
      </c>
    </row>
    <row r="52" spans="1:15" x14ac:dyDescent="0.25">
      <c r="A52" s="15" t="s">
        <v>17</v>
      </c>
      <c r="B52" s="5">
        <v>1597</v>
      </c>
      <c r="C52" s="6">
        <v>43750</v>
      </c>
      <c r="D52" s="5" t="str">
        <f>"0350120190800903800"</f>
        <v>0350120190800903800</v>
      </c>
      <c r="E52" s="6">
        <v>43719</v>
      </c>
      <c r="F52" s="6">
        <v>43750</v>
      </c>
      <c r="G52" s="6">
        <v>43756</v>
      </c>
      <c r="H52" s="5" t="s">
        <v>14</v>
      </c>
      <c r="I52" s="5">
        <v>19.11</v>
      </c>
      <c r="J52" s="5">
        <v>1.74</v>
      </c>
      <c r="K52" s="5">
        <v>17.37</v>
      </c>
      <c r="L52" s="7">
        <f t="shared" si="0"/>
        <v>-6</v>
      </c>
      <c r="M52" s="16">
        <f t="shared" si="1"/>
        <v>-104.22</v>
      </c>
      <c r="N52" s="1" t="s">
        <v>15</v>
      </c>
      <c r="O52" s="2">
        <f t="shared" si="2"/>
        <v>37</v>
      </c>
    </row>
    <row r="53" spans="1:15" x14ac:dyDescent="0.25">
      <c r="A53" s="15" t="s">
        <v>17</v>
      </c>
      <c r="B53" s="5">
        <v>1599</v>
      </c>
      <c r="C53" s="6">
        <v>43750</v>
      </c>
      <c r="D53" s="5" t="str">
        <f>"0350120190800903400"</f>
        <v>0350120190800903400</v>
      </c>
      <c r="E53" s="6">
        <v>43719</v>
      </c>
      <c r="F53" s="6">
        <v>43750</v>
      </c>
      <c r="G53" s="6">
        <v>43756</v>
      </c>
      <c r="H53" s="5" t="s">
        <v>14</v>
      </c>
      <c r="I53" s="5">
        <v>51.11</v>
      </c>
      <c r="J53" s="5">
        <v>4.6500000000000004</v>
      </c>
      <c r="K53" s="5">
        <v>46.46</v>
      </c>
      <c r="L53" s="7">
        <f>+F53-G53</f>
        <v>-6</v>
      </c>
      <c r="M53" s="16">
        <f t="shared" si="1"/>
        <v>-278.76</v>
      </c>
      <c r="N53" s="1" t="s">
        <v>15</v>
      </c>
      <c r="O53" s="2">
        <f t="shared" si="2"/>
        <v>37</v>
      </c>
    </row>
    <row r="54" spans="1:15" x14ac:dyDescent="0.25">
      <c r="A54" s="15" t="s">
        <v>17</v>
      </c>
      <c r="B54" s="5">
        <v>1597</v>
      </c>
      <c r="C54" s="6">
        <v>43750</v>
      </c>
      <c r="D54" s="5" t="str">
        <f>"0350120190800903700"</f>
        <v>0350120190800903700</v>
      </c>
      <c r="E54" s="6">
        <v>43719</v>
      </c>
      <c r="F54" s="6">
        <v>43750</v>
      </c>
      <c r="G54" s="6">
        <v>43756</v>
      </c>
      <c r="H54" s="5" t="s">
        <v>14</v>
      </c>
      <c r="I54" s="5">
        <v>2.67</v>
      </c>
      <c r="J54" s="5">
        <v>0.24</v>
      </c>
      <c r="K54" s="5">
        <v>2.4300000000000002</v>
      </c>
      <c r="L54" s="7">
        <f t="shared" si="0"/>
        <v>-6</v>
      </c>
      <c r="M54" s="16">
        <f t="shared" si="1"/>
        <v>-14.580000000000002</v>
      </c>
      <c r="N54" s="1" t="s">
        <v>15</v>
      </c>
      <c r="O54" s="2">
        <f t="shared" si="2"/>
        <v>37</v>
      </c>
    </row>
    <row r="55" spans="1:15" x14ac:dyDescent="0.25">
      <c r="A55" s="15" t="s">
        <v>17</v>
      </c>
      <c r="B55" s="5">
        <v>1600</v>
      </c>
      <c r="C55" s="6">
        <v>43750</v>
      </c>
      <c r="D55" s="5" t="str">
        <f>"0350120190800903900"</f>
        <v>0350120190800903900</v>
      </c>
      <c r="E55" s="6">
        <v>43719</v>
      </c>
      <c r="F55" s="6">
        <v>43750</v>
      </c>
      <c r="G55" s="6">
        <v>43756</v>
      </c>
      <c r="H55" s="5" t="s">
        <v>14</v>
      </c>
      <c r="I55" s="5">
        <v>62.67</v>
      </c>
      <c r="J55" s="5">
        <v>5.7</v>
      </c>
      <c r="K55" s="5">
        <v>56.97</v>
      </c>
      <c r="L55" s="7">
        <f t="shared" si="0"/>
        <v>-6</v>
      </c>
      <c r="M55" s="16">
        <f t="shared" si="1"/>
        <v>-341.82</v>
      </c>
      <c r="N55" s="1" t="s">
        <v>15</v>
      </c>
      <c r="O55" s="2">
        <f t="shared" si="2"/>
        <v>37</v>
      </c>
    </row>
    <row r="56" spans="1:15" x14ac:dyDescent="0.25">
      <c r="A56" s="15" t="s">
        <v>17</v>
      </c>
      <c r="B56" s="5">
        <v>1597</v>
      </c>
      <c r="C56" s="6">
        <v>43750</v>
      </c>
      <c r="D56" s="5" t="str">
        <f>"0350120190800904800"</f>
        <v>0350120190800904800</v>
      </c>
      <c r="E56" s="6">
        <v>43719</v>
      </c>
      <c r="F56" s="6">
        <v>43750</v>
      </c>
      <c r="G56" s="6">
        <v>43756</v>
      </c>
      <c r="H56" s="5" t="s">
        <v>14</v>
      </c>
      <c r="I56" s="5">
        <v>52</v>
      </c>
      <c r="J56" s="5">
        <v>4.7300000000000004</v>
      </c>
      <c r="K56" s="5">
        <v>47.27</v>
      </c>
      <c r="L56" s="7">
        <f t="shared" si="0"/>
        <v>-6</v>
      </c>
      <c r="M56" s="16">
        <f t="shared" si="1"/>
        <v>-283.62</v>
      </c>
      <c r="N56" s="1" t="s">
        <v>15</v>
      </c>
      <c r="O56" s="2">
        <f t="shared" si="2"/>
        <v>37</v>
      </c>
    </row>
    <row r="57" spans="1:15" x14ac:dyDescent="0.25">
      <c r="A57" s="15" t="s">
        <v>17</v>
      </c>
      <c r="B57" s="5">
        <v>1596</v>
      </c>
      <c r="C57" s="6">
        <v>43749</v>
      </c>
      <c r="D57" s="5" t="str">
        <f>"0350120190800904300"</f>
        <v>0350120190800904300</v>
      </c>
      <c r="E57" s="6">
        <v>43719</v>
      </c>
      <c r="F57" s="6">
        <v>43750</v>
      </c>
      <c r="G57" s="6">
        <v>43756</v>
      </c>
      <c r="H57" s="5" t="s">
        <v>14</v>
      </c>
      <c r="I57" s="5">
        <v>64.63</v>
      </c>
      <c r="J57" s="5">
        <v>5.88</v>
      </c>
      <c r="K57" s="5">
        <v>58.75</v>
      </c>
      <c r="L57" s="7">
        <f t="shared" si="0"/>
        <v>-6</v>
      </c>
      <c r="M57" s="16">
        <f t="shared" si="1"/>
        <v>-352.5</v>
      </c>
      <c r="N57" s="1" t="s">
        <v>15</v>
      </c>
      <c r="O57" s="2">
        <f t="shared" si="2"/>
        <v>37</v>
      </c>
    </row>
    <row r="58" spans="1:15" x14ac:dyDescent="0.25">
      <c r="A58" s="15" t="s">
        <v>17</v>
      </c>
      <c r="B58" s="5">
        <v>1596</v>
      </c>
      <c r="C58" s="6">
        <v>43749</v>
      </c>
      <c r="D58" s="5" t="str">
        <f>"0350120190800904600"</f>
        <v>0350120190800904600</v>
      </c>
      <c r="E58" s="6">
        <v>43719</v>
      </c>
      <c r="F58" s="6">
        <v>43750</v>
      </c>
      <c r="G58" s="6">
        <v>43756</v>
      </c>
      <c r="H58" s="5" t="s">
        <v>14</v>
      </c>
      <c r="I58" s="5">
        <v>2.66</v>
      </c>
      <c r="J58" s="5">
        <v>0.24</v>
      </c>
      <c r="K58" s="5">
        <v>2.42</v>
      </c>
      <c r="L58" s="7">
        <f t="shared" si="0"/>
        <v>-6</v>
      </c>
      <c r="M58" s="16">
        <f t="shared" si="1"/>
        <v>-14.52</v>
      </c>
      <c r="N58" s="1" t="s">
        <v>15</v>
      </c>
      <c r="O58" s="2">
        <f t="shared" si="2"/>
        <v>37</v>
      </c>
    </row>
    <row r="59" spans="1:15" x14ac:dyDescent="0.25">
      <c r="A59" s="15" t="s">
        <v>17</v>
      </c>
      <c r="B59" s="5">
        <v>1597</v>
      </c>
      <c r="C59" s="6">
        <v>43750</v>
      </c>
      <c r="D59" s="5" t="str">
        <f>"0350120190800904400"</f>
        <v>0350120190800904400</v>
      </c>
      <c r="E59" s="6">
        <v>43719</v>
      </c>
      <c r="F59" s="6">
        <v>43750</v>
      </c>
      <c r="G59" s="6">
        <v>43756</v>
      </c>
      <c r="H59" s="5" t="s">
        <v>14</v>
      </c>
      <c r="I59" s="5">
        <v>3.11</v>
      </c>
      <c r="J59" s="5">
        <v>0.28000000000000003</v>
      </c>
      <c r="K59" s="5">
        <v>2.83</v>
      </c>
      <c r="L59" s="7">
        <f t="shared" si="0"/>
        <v>-6</v>
      </c>
      <c r="M59" s="16">
        <f t="shared" si="1"/>
        <v>-16.98</v>
      </c>
      <c r="N59" s="1" t="s">
        <v>15</v>
      </c>
      <c r="O59" s="2">
        <f t="shared" si="2"/>
        <v>37</v>
      </c>
    </row>
    <row r="60" spans="1:15" x14ac:dyDescent="0.25">
      <c r="A60" s="15" t="s">
        <v>17</v>
      </c>
      <c r="B60" s="5">
        <v>1597</v>
      </c>
      <c r="C60" s="6">
        <v>43750</v>
      </c>
      <c r="D60" s="5" t="str">
        <f>"0350120190800904500"</f>
        <v>0350120190800904500</v>
      </c>
      <c r="E60" s="6">
        <v>43719</v>
      </c>
      <c r="F60" s="6">
        <v>43750</v>
      </c>
      <c r="G60" s="6">
        <v>43756</v>
      </c>
      <c r="H60" s="5" t="s">
        <v>14</v>
      </c>
      <c r="I60" s="5">
        <v>35.270000000000003</v>
      </c>
      <c r="J60" s="5">
        <v>2.7</v>
      </c>
      <c r="K60" s="5">
        <v>32.57</v>
      </c>
      <c r="L60" s="7">
        <f t="shared" si="0"/>
        <v>-6</v>
      </c>
      <c r="M60" s="16">
        <f t="shared" si="1"/>
        <v>-195.42000000000002</v>
      </c>
      <c r="N60" s="1" t="s">
        <v>15</v>
      </c>
      <c r="O60" s="2">
        <f t="shared" si="2"/>
        <v>37</v>
      </c>
    </row>
    <row r="61" spans="1:15" x14ac:dyDescent="0.25">
      <c r="A61" s="15" t="s">
        <v>17</v>
      </c>
      <c r="B61" s="5">
        <v>1598</v>
      </c>
      <c r="C61" s="6">
        <v>43750</v>
      </c>
      <c r="D61" s="5" t="str">
        <f>"0350120190800904100"</f>
        <v>0350120190800904100</v>
      </c>
      <c r="E61" s="6">
        <v>43719</v>
      </c>
      <c r="F61" s="6">
        <v>43750</v>
      </c>
      <c r="G61" s="6">
        <v>43756</v>
      </c>
      <c r="H61" s="5" t="s">
        <v>14</v>
      </c>
      <c r="I61" s="5">
        <v>34.67</v>
      </c>
      <c r="J61" s="5">
        <v>3.15</v>
      </c>
      <c r="K61" s="5">
        <v>31.52</v>
      </c>
      <c r="L61" s="7">
        <f t="shared" si="0"/>
        <v>-6</v>
      </c>
      <c r="M61" s="16">
        <f t="shared" si="1"/>
        <v>-189.12</v>
      </c>
      <c r="N61" s="1" t="s">
        <v>15</v>
      </c>
      <c r="O61" s="2">
        <f t="shared" si="2"/>
        <v>37</v>
      </c>
    </row>
    <row r="62" spans="1:15" x14ac:dyDescent="0.25">
      <c r="A62" s="15" t="s">
        <v>17</v>
      </c>
      <c r="B62" s="5">
        <v>1596</v>
      </c>
      <c r="C62" s="6">
        <v>43749</v>
      </c>
      <c r="D62" s="5" t="str">
        <f>"0350120190800904900"</f>
        <v>0350120190800904900</v>
      </c>
      <c r="E62" s="6">
        <v>43719</v>
      </c>
      <c r="F62" s="6">
        <v>43750</v>
      </c>
      <c r="G62" s="6">
        <v>43756</v>
      </c>
      <c r="H62" s="5" t="s">
        <v>14</v>
      </c>
      <c r="I62" s="5">
        <v>161.32</v>
      </c>
      <c r="J62" s="5">
        <v>13.9</v>
      </c>
      <c r="K62" s="5">
        <v>147.41999999999999</v>
      </c>
      <c r="L62" s="7">
        <f t="shared" si="0"/>
        <v>-6</v>
      </c>
      <c r="M62" s="16">
        <f t="shared" si="1"/>
        <v>-884.52</v>
      </c>
      <c r="N62" s="1" t="s">
        <v>15</v>
      </c>
      <c r="O62" s="2">
        <f t="shared" si="2"/>
        <v>37</v>
      </c>
    </row>
    <row r="63" spans="1:15" x14ac:dyDescent="0.25">
      <c r="A63" s="15" t="s">
        <v>17</v>
      </c>
      <c r="B63" s="5">
        <v>1608</v>
      </c>
      <c r="C63" s="6">
        <v>43750</v>
      </c>
      <c r="D63" s="5" t="str">
        <f>"0350120190800905400"</f>
        <v>0350120190800905400</v>
      </c>
      <c r="E63" s="6">
        <v>43719</v>
      </c>
      <c r="F63" s="6">
        <v>43750</v>
      </c>
      <c r="G63" s="6">
        <v>43756</v>
      </c>
      <c r="H63" s="5" t="s">
        <v>14</v>
      </c>
      <c r="I63" s="8">
        <v>1115.68</v>
      </c>
      <c r="J63" s="5">
        <v>68.08</v>
      </c>
      <c r="K63" s="8">
        <v>1047.5999999999999</v>
      </c>
      <c r="L63" s="7">
        <f t="shared" si="0"/>
        <v>-6</v>
      </c>
      <c r="M63" s="16">
        <f t="shared" si="1"/>
        <v>-6285.5999999999995</v>
      </c>
      <c r="N63" s="1" t="s">
        <v>15</v>
      </c>
      <c r="O63" s="2">
        <f t="shared" si="2"/>
        <v>37</v>
      </c>
    </row>
    <row r="64" spans="1:15" x14ac:dyDescent="0.25">
      <c r="A64" s="15" t="s">
        <v>17</v>
      </c>
      <c r="B64" s="5">
        <v>1596</v>
      </c>
      <c r="C64" s="6">
        <v>43749</v>
      </c>
      <c r="D64" s="5" t="str">
        <f>"0350120190800905300"</f>
        <v>0350120190800905300</v>
      </c>
      <c r="E64" s="6">
        <v>43719</v>
      </c>
      <c r="F64" s="6">
        <v>43750</v>
      </c>
      <c r="G64" s="6">
        <v>43756</v>
      </c>
      <c r="H64" s="5" t="s">
        <v>14</v>
      </c>
      <c r="I64" s="5">
        <v>19.11</v>
      </c>
      <c r="J64" s="5">
        <v>1.74</v>
      </c>
      <c r="K64" s="5">
        <v>17.37</v>
      </c>
      <c r="L64" s="7">
        <f t="shared" si="0"/>
        <v>-6</v>
      </c>
      <c r="M64" s="16">
        <f t="shared" si="1"/>
        <v>-104.22</v>
      </c>
      <c r="N64" s="1" t="s">
        <v>15</v>
      </c>
      <c r="O64" s="2">
        <f t="shared" si="2"/>
        <v>37</v>
      </c>
    </row>
    <row r="65" spans="1:15" x14ac:dyDescent="0.25">
      <c r="A65" s="15" t="s">
        <v>17</v>
      </c>
      <c r="B65" s="5">
        <v>1596</v>
      </c>
      <c r="C65" s="6">
        <v>43749</v>
      </c>
      <c r="D65" s="5" t="str">
        <f>"0350120190800904700"</f>
        <v>0350120190800904700</v>
      </c>
      <c r="E65" s="6">
        <v>43719</v>
      </c>
      <c r="F65" s="6">
        <v>43750</v>
      </c>
      <c r="G65" s="6">
        <v>43756</v>
      </c>
      <c r="H65" s="5" t="s">
        <v>14</v>
      </c>
      <c r="I65" s="5">
        <v>21.07</v>
      </c>
      <c r="J65" s="5">
        <v>1.92</v>
      </c>
      <c r="K65" s="5">
        <v>19.149999999999999</v>
      </c>
      <c r="L65" s="7">
        <f t="shared" si="0"/>
        <v>-6</v>
      </c>
      <c r="M65" s="16">
        <f t="shared" si="1"/>
        <v>-114.89999999999999</v>
      </c>
      <c r="N65" s="1" t="s">
        <v>15</v>
      </c>
      <c r="O65" s="2">
        <f t="shared" si="2"/>
        <v>37</v>
      </c>
    </row>
    <row r="66" spans="1:15" x14ac:dyDescent="0.25">
      <c r="A66" s="15" t="s">
        <v>17</v>
      </c>
      <c r="B66" s="5">
        <v>1597</v>
      </c>
      <c r="C66" s="6">
        <v>43750</v>
      </c>
      <c r="D66" s="5" t="str">
        <f>"0350120190800903500"</f>
        <v>0350120190800903500</v>
      </c>
      <c r="E66" s="6">
        <v>43719</v>
      </c>
      <c r="F66" s="6">
        <v>43750</v>
      </c>
      <c r="G66" s="6">
        <v>43756</v>
      </c>
      <c r="H66" s="5" t="s">
        <v>14</v>
      </c>
      <c r="I66" s="5">
        <v>19.11</v>
      </c>
      <c r="J66" s="5">
        <v>1.74</v>
      </c>
      <c r="K66" s="5">
        <v>17.37</v>
      </c>
      <c r="L66" s="7">
        <f t="shared" si="0"/>
        <v>-6</v>
      </c>
      <c r="M66" s="16">
        <f t="shared" si="1"/>
        <v>-104.22</v>
      </c>
      <c r="N66" s="1" t="s">
        <v>15</v>
      </c>
      <c r="O66" s="2">
        <f>+G66-E66</f>
        <v>37</v>
      </c>
    </row>
    <row r="67" spans="1:15" x14ac:dyDescent="0.25">
      <c r="A67" s="15" t="s">
        <v>17</v>
      </c>
      <c r="B67" s="5">
        <v>1597</v>
      </c>
      <c r="C67" s="6">
        <v>43750</v>
      </c>
      <c r="D67" s="5" t="str">
        <f>"0350120190800905000"</f>
        <v>0350120190800905000</v>
      </c>
      <c r="E67" s="6">
        <v>43719</v>
      </c>
      <c r="F67" s="6">
        <v>43750</v>
      </c>
      <c r="G67" s="6">
        <v>43756</v>
      </c>
      <c r="H67" s="5" t="s">
        <v>14</v>
      </c>
      <c r="I67" s="5">
        <v>1.45</v>
      </c>
      <c r="J67" s="5">
        <v>0.13</v>
      </c>
      <c r="K67" s="5">
        <v>1.32</v>
      </c>
      <c r="L67" s="7">
        <f t="shared" ref="L67:L71" si="3">+F67-G67</f>
        <v>-6</v>
      </c>
      <c r="M67" s="16">
        <f t="shared" ref="M67:M130" si="4">+L67*K67</f>
        <v>-7.92</v>
      </c>
      <c r="N67" s="1" t="s">
        <v>15</v>
      </c>
      <c r="O67" s="2">
        <f t="shared" si="2"/>
        <v>37</v>
      </c>
    </row>
    <row r="68" spans="1:15" x14ac:dyDescent="0.25">
      <c r="A68" s="15" t="s">
        <v>42</v>
      </c>
      <c r="B68" s="5">
        <v>1780</v>
      </c>
      <c r="C68" s="6">
        <v>43778</v>
      </c>
      <c r="D68" s="5" t="s">
        <v>43</v>
      </c>
      <c r="E68" s="6">
        <v>43755</v>
      </c>
      <c r="F68" s="6">
        <v>43778</v>
      </c>
      <c r="G68" s="6">
        <v>43785</v>
      </c>
      <c r="H68" s="5" t="s">
        <v>14</v>
      </c>
      <c r="I68" s="8">
        <v>2000</v>
      </c>
      <c r="J68" s="5">
        <v>360.66</v>
      </c>
      <c r="K68" s="8">
        <v>1639.34</v>
      </c>
      <c r="L68" s="7">
        <f t="shared" si="3"/>
        <v>-7</v>
      </c>
      <c r="M68" s="16">
        <f t="shared" si="4"/>
        <v>-11475.38</v>
      </c>
      <c r="N68" s="1" t="s">
        <v>15</v>
      </c>
      <c r="O68" s="2">
        <f t="shared" ref="O68:O131" si="5">+G68-E68</f>
        <v>30</v>
      </c>
    </row>
    <row r="69" spans="1:15" ht="25.5" x14ac:dyDescent="0.25">
      <c r="A69" s="15" t="s">
        <v>44</v>
      </c>
      <c r="B69" s="5">
        <v>1988</v>
      </c>
      <c r="C69" s="6">
        <v>43813</v>
      </c>
      <c r="D69" s="5" t="s">
        <v>45</v>
      </c>
      <c r="E69" s="6">
        <v>43760</v>
      </c>
      <c r="F69" s="6">
        <v>43813</v>
      </c>
      <c r="G69" s="6">
        <v>43821</v>
      </c>
      <c r="H69" s="5" t="s">
        <v>14</v>
      </c>
      <c r="I69" s="8">
        <v>1300</v>
      </c>
      <c r="J69" s="5">
        <v>234.43</v>
      </c>
      <c r="K69" s="8">
        <v>1065.57</v>
      </c>
      <c r="L69" s="7">
        <f t="shared" si="3"/>
        <v>-8</v>
      </c>
      <c r="M69" s="16">
        <f t="shared" si="4"/>
        <v>-8524.56</v>
      </c>
      <c r="N69" s="1" t="s">
        <v>15</v>
      </c>
      <c r="O69" s="2">
        <f t="shared" si="5"/>
        <v>61</v>
      </c>
    </row>
    <row r="70" spans="1:15" x14ac:dyDescent="0.25">
      <c r="A70" s="15" t="s">
        <v>46</v>
      </c>
      <c r="B70" s="5">
        <v>1975</v>
      </c>
      <c r="C70" s="6">
        <v>43813</v>
      </c>
      <c r="D70" s="5" t="s">
        <v>47</v>
      </c>
      <c r="E70" s="6">
        <v>43791</v>
      </c>
      <c r="F70" s="6">
        <v>43813</v>
      </c>
      <c r="G70" s="6">
        <v>43821</v>
      </c>
      <c r="H70" s="5" t="s">
        <v>14</v>
      </c>
      <c r="I70" s="8">
        <v>4440.8</v>
      </c>
      <c r="J70" s="5">
        <v>0</v>
      </c>
      <c r="K70" s="8">
        <v>4440.8</v>
      </c>
      <c r="L70" s="7">
        <f t="shared" si="3"/>
        <v>-8</v>
      </c>
      <c r="M70" s="16">
        <f t="shared" si="4"/>
        <v>-35526.400000000001</v>
      </c>
      <c r="N70" s="1" t="s">
        <v>15</v>
      </c>
      <c r="O70" s="2">
        <f t="shared" si="5"/>
        <v>30</v>
      </c>
    </row>
    <row r="71" spans="1:15" x14ac:dyDescent="0.25">
      <c r="A71" s="15" t="s">
        <v>46</v>
      </c>
      <c r="B71" s="5">
        <v>1971</v>
      </c>
      <c r="C71" s="6">
        <v>43812</v>
      </c>
      <c r="D71" s="5" t="s">
        <v>48</v>
      </c>
      <c r="E71" s="6">
        <v>43791</v>
      </c>
      <c r="F71" s="6">
        <v>43813</v>
      </c>
      <c r="G71" s="6">
        <v>43821</v>
      </c>
      <c r="H71" s="5" t="s">
        <v>14</v>
      </c>
      <c r="I71" s="8">
        <v>7764.6</v>
      </c>
      <c r="J71" s="8">
        <v>1400.17</v>
      </c>
      <c r="K71" s="8">
        <v>6364.43</v>
      </c>
      <c r="L71" s="7">
        <f t="shared" si="3"/>
        <v>-8</v>
      </c>
      <c r="M71" s="16">
        <f t="shared" si="4"/>
        <v>-50915.44</v>
      </c>
      <c r="N71" s="1" t="s">
        <v>15</v>
      </c>
      <c r="O71" s="2">
        <f t="shared" si="5"/>
        <v>30</v>
      </c>
    </row>
    <row r="72" spans="1:15" x14ac:dyDescent="0.25">
      <c r="A72" s="15" t="s">
        <v>46</v>
      </c>
      <c r="B72" s="5">
        <v>1976</v>
      </c>
      <c r="C72" s="6">
        <v>43813</v>
      </c>
      <c r="D72" s="5" t="s">
        <v>49</v>
      </c>
      <c r="E72" s="6">
        <v>43791</v>
      </c>
      <c r="F72" s="6">
        <v>43813</v>
      </c>
      <c r="G72" s="6">
        <v>43821</v>
      </c>
      <c r="H72" s="5" t="s">
        <v>14</v>
      </c>
      <c r="I72" s="8">
        <v>3300</v>
      </c>
      <c r="J72" s="5">
        <v>595.08000000000004</v>
      </c>
      <c r="K72" s="8">
        <v>2704.92</v>
      </c>
      <c r="L72" s="7">
        <f>+F72-G72</f>
        <v>-8</v>
      </c>
      <c r="M72" s="16">
        <f t="shared" si="4"/>
        <v>-21639.360000000001</v>
      </c>
      <c r="N72" s="1" t="s">
        <v>15</v>
      </c>
      <c r="O72" s="2">
        <f t="shared" si="5"/>
        <v>30</v>
      </c>
    </row>
    <row r="73" spans="1:15" x14ac:dyDescent="0.25">
      <c r="A73" s="15" t="s">
        <v>50</v>
      </c>
      <c r="B73" s="5">
        <v>1672</v>
      </c>
      <c r="C73" s="6">
        <v>43760</v>
      </c>
      <c r="D73" s="5" t="s">
        <v>51</v>
      </c>
      <c r="E73" s="6">
        <v>43739</v>
      </c>
      <c r="F73" s="6">
        <v>43760</v>
      </c>
      <c r="G73" s="6">
        <v>43769</v>
      </c>
      <c r="H73" s="5" t="s">
        <v>14</v>
      </c>
      <c r="I73" s="8">
        <v>2926.38</v>
      </c>
      <c r="J73" s="5">
        <v>527.71</v>
      </c>
      <c r="K73" s="8">
        <v>2398.67</v>
      </c>
      <c r="L73" s="7">
        <f t="shared" ref="L73:L96" si="6">+F73-G73</f>
        <v>-9</v>
      </c>
      <c r="M73" s="16">
        <f t="shared" si="4"/>
        <v>-21588.03</v>
      </c>
      <c r="N73" s="1" t="s">
        <v>15</v>
      </c>
      <c r="O73" s="2">
        <f t="shared" si="5"/>
        <v>30</v>
      </c>
    </row>
    <row r="74" spans="1:15" x14ac:dyDescent="0.25">
      <c r="A74" s="15" t="s">
        <v>17</v>
      </c>
      <c r="B74" s="5">
        <v>1605</v>
      </c>
      <c r="C74" s="6">
        <v>43750</v>
      </c>
      <c r="D74" s="5" t="str">
        <f>"0350120190800941400"</f>
        <v>0350120190800941400</v>
      </c>
      <c r="E74" s="6">
        <v>43724</v>
      </c>
      <c r="F74" s="6">
        <v>43752</v>
      </c>
      <c r="G74" s="6">
        <v>43762</v>
      </c>
      <c r="H74" s="5" t="s">
        <v>14</v>
      </c>
      <c r="I74" s="5">
        <v>134.55000000000001</v>
      </c>
      <c r="J74" s="5">
        <v>8.18</v>
      </c>
      <c r="K74" s="5">
        <v>126.37</v>
      </c>
      <c r="L74" s="7">
        <f t="shared" si="6"/>
        <v>-10</v>
      </c>
      <c r="M74" s="16">
        <f t="shared" si="4"/>
        <v>-1263.7</v>
      </c>
      <c r="N74" s="1" t="s">
        <v>15</v>
      </c>
      <c r="O74" s="2">
        <f t="shared" si="5"/>
        <v>38</v>
      </c>
    </row>
    <row r="75" spans="1:15" x14ac:dyDescent="0.25">
      <c r="A75" s="15" t="s">
        <v>52</v>
      </c>
      <c r="B75" s="5">
        <v>1668</v>
      </c>
      <c r="C75" s="6">
        <v>43760</v>
      </c>
      <c r="D75" s="5" t="str">
        <f>"00020190026"</f>
        <v>00020190026</v>
      </c>
      <c r="E75" s="6">
        <v>43738</v>
      </c>
      <c r="F75" s="6">
        <v>43760</v>
      </c>
      <c r="G75" s="6">
        <v>43770</v>
      </c>
      <c r="H75" s="5" t="s">
        <v>14</v>
      </c>
      <c r="I75" s="8">
        <v>96387.78</v>
      </c>
      <c r="J75" s="8">
        <v>8762.5300000000007</v>
      </c>
      <c r="K75" s="8">
        <v>87625.25</v>
      </c>
      <c r="L75" s="7">
        <f t="shared" si="6"/>
        <v>-10</v>
      </c>
      <c r="M75" s="16">
        <f t="shared" si="4"/>
        <v>-876252.5</v>
      </c>
      <c r="N75" s="1" t="s">
        <v>15</v>
      </c>
      <c r="O75" s="2">
        <f t="shared" si="5"/>
        <v>32</v>
      </c>
    </row>
    <row r="76" spans="1:15" x14ac:dyDescent="0.25">
      <c r="A76" s="15" t="s">
        <v>53</v>
      </c>
      <c r="B76" s="5">
        <v>1676</v>
      </c>
      <c r="C76" s="6">
        <v>43760</v>
      </c>
      <c r="D76" s="5" t="s">
        <v>54</v>
      </c>
      <c r="E76" s="6">
        <v>43738</v>
      </c>
      <c r="F76" s="6">
        <v>43760</v>
      </c>
      <c r="G76" s="6">
        <v>43771</v>
      </c>
      <c r="H76" s="5" t="s">
        <v>14</v>
      </c>
      <c r="I76" s="8">
        <v>1392.02</v>
      </c>
      <c r="J76" s="5">
        <v>251.02</v>
      </c>
      <c r="K76" s="8">
        <v>1141</v>
      </c>
      <c r="L76" s="7">
        <f t="shared" si="6"/>
        <v>-11</v>
      </c>
      <c r="M76" s="16">
        <f t="shared" si="4"/>
        <v>-12551</v>
      </c>
      <c r="N76" s="1" t="s">
        <v>15</v>
      </c>
      <c r="O76" s="2">
        <f t="shared" si="5"/>
        <v>33</v>
      </c>
    </row>
    <row r="77" spans="1:15" ht="25.5" x14ac:dyDescent="0.25">
      <c r="A77" s="15" t="s">
        <v>161</v>
      </c>
      <c r="B77" s="5">
        <v>1604</v>
      </c>
      <c r="C77" s="6">
        <v>43750</v>
      </c>
      <c r="D77" s="5" t="str">
        <f>"8019121061"</f>
        <v>8019121061</v>
      </c>
      <c r="E77" s="6">
        <v>43727</v>
      </c>
      <c r="F77" s="6">
        <v>43750</v>
      </c>
      <c r="G77" s="6">
        <v>43761</v>
      </c>
      <c r="H77" s="5" t="s">
        <v>14</v>
      </c>
      <c r="I77" s="5">
        <v>480.64</v>
      </c>
      <c r="J77" s="5">
        <v>0</v>
      </c>
      <c r="K77" s="5">
        <v>480.64</v>
      </c>
      <c r="L77" s="7">
        <f t="shared" si="6"/>
        <v>-11</v>
      </c>
      <c r="M77" s="16">
        <f t="shared" si="4"/>
        <v>-5287.04</v>
      </c>
      <c r="N77" s="1" t="s">
        <v>15</v>
      </c>
      <c r="O77" s="2">
        <f t="shared" si="5"/>
        <v>34</v>
      </c>
    </row>
    <row r="78" spans="1:15" x14ac:dyDescent="0.25">
      <c r="A78" s="15" t="s">
        <v>55</v>
      </c>
      <c r="B78" s="5">
        <v>1614</v>
      </c>
      <c r="C78" s="6">
        <v>43750</v>
      </c>
      <c r="D78" s="5" t="s">
        <v>56</v>
      </c>
      <c r="E78" s="6">
        <v>43726</v>
      </c>
      <c r="F78" s="6">
        <v>43750</v>
      </c>
      <c r="G78" s="6">
        <v>43762</v>
      </c>
      <c r="H78" s="5" t="s">
        <v>14</v>
      </c>
      <c r="I78" s="8">
        <v>1000.71</v>
      </c>
      <c r="J78" s="5">
        <v>180.46</v>
      </c>
      <c r="K78" s="5">
        <v>820.25</v>
      </c>
      <c r="L78" s="7">
        <f t="shared" si="6"/>
        <v>-12</v>
      </c>
      <c r="M78" s="16">
        <f t="shared" si="4"/>
        <v>-9843</v>
      </c>
      <c r="N78" s="1" t="s">
        <v>15</v>
      </c>
      <c r="O78" s="2">
        <f t="shared" si="5"/>
        <v>36</v>
      </c>
    </row>
    <row r="79" spans="1:15" x14ac:dyDescent="0.25">
      <c r="A79" s="15" t="s">
        <v>55</v>
      </c>
      <c r="B79" s="5">
        <v>1615</v>
      </c>
      <c r="C79" s="6">
        <v>43750</v>
      </c>
      <c r="D79" s="5" t="s">
        <v>57</v>
      </c>
      <c r="E79" s="6">
        <v>43726</v>
      </c>
      <c r="F79" s="6">
        <v>43750</v>
      </c>
      <c r="G79" s="6">
        <v>43762</v>
      </c>
      <c r="H79" s="5" t="s">
        <v>14</v>
      </c>
      <c r="I79" s="8">
        <v>1260.1500000000001</v>
      </c>
      <c r="J79" s="5">
        <v>227.24</v>
      </c>
      <c r="K79" s="8">
        <v>1032.9100000000001</v>
      </c>
      <c r="L79" s="7">
        <f t="shared" si="6"/>
        <v>-12</v>
      </c>
      <c r="M79" s="16">
        <f t="shared" si="4"/>
        <v>-12394.920000000002</v>
      </c>
      <c r="N79" s="1" t="s">
        <v>15</v>
      </c>
      <c r="O79" s="2">
        <f t="shared" si="5"/>
        <v>36</v>
      </c>
    </row>
    <row r="80" spans="1:15" ht="25.5" x14ac:dyDescent="0.25">
      <c r="A80" s="15" t="s">
        <v>160</v>
      </c>
      <c r="B80" s="5">
        <v>1604</v>
      </c>
      <c r="C80" s="6">
        <v>43750</v>
      </c>
      <c r="D80" s="5" t="str">
        <f>"8019120913"</f>
        <v>8019120913</v>
      </c>
      <c r="E80" s="6">
        <v>43727</v>
      </c>
      <c r="F80" s="6">
        <v>43750</v>
      </c>
      <c r="G80" s="6">
        <v>43762</v>
      </c>
      <c r="H80" s="5" t="s">
        <v>14</v>
      </c>
      <c r="I80" s="5">
        <v>3.72</v>
      </c>
      <c r="J80" s="5">
        <v>3.72</v>
      </c>
      <c r="K80" s="5">
        <v>0</v>
      </c>
      <c r="L80" s="7">
        <f t="shared" si="6"/>
        <v>-12</v>
      </c>
      <c r="M80" s="16">
        <f t="shared" si="4"/>
        <v>0</v>
      </c>
      <c r="N80" s="1" t="s">
        <v>15</v>
      </c>
      <c r="O80" s="2">
        <f t="shared" si="5"/>
        <v>35</v>
      </c>
    </row>
    <row r="81" spans="1:15" x14ac:dyDescent="0.25">
      <c r="A81" s="15" t="s">
        <v>58</v>
      </c>
      <c r="B81" s="5">
        <v>1613</v>
      </c>
      <c r="C81" s="6">
        <v>43750</v>
      </c>
      <c r="D81" s="5" t="s">
        <v>59</v>
      </c>
      <c r="E81" s="6">
        <v>43725</v>
      </c>
      <c r="F81" s="6">
        <v>43750</v>
      </c>
      <c r="G81" s="6">
        <v>43762</v>
      </c>
      <c r="H81" s="5" t="s">
        <v>14</v>
      </c>
      <c r="I81" s="8">
        <v>1372.5</v>
      </c>
      <c r="J81" s="5">
        <v>247.5</v>
      </c>
      <c r="K81" s="8">
        <v>1125</v>
      </c>
      <c r="L81" s="7">
        <f t="shared" si="6"/>
        <v>-12</v>
      </c>
      <c r="M81" s="16">
        <f t="shared" si="4"/>
        <v>-13500</v>
      </c>
      <c r="N81" s="1" t="s">
        <v>15</v>
      </c>
      <c r="O81" s="2">
        <f t="shared" si="5"/>
        <v>37</v>
      </c>
    </row>
    <row r="82" spans="1:15" x14ac:dyDescent="0.25">
      <c r="A82" s="15" t="s">
        <v>60</v>
      </c>
      <c r="B82" s="5">
        <v>1937</v>
      </c>
      <c r="C82" s="6">
        <v>43799</v>
      </c>
      <c r="D82" s="5" t="s">
        <v>61</v>
      </c>
      <c r="E82" s="6">
        <v>43781</v>
      </c>
      <c r="F82" s="6">
        <v>43799</v>
      </c>
      <c r="G82" s="6">
        <v>43811</v>
      </c>
      <c r="H82" s="5" t="s">
        <v>14</v>
      </c>
      <c r="I82" s="8">
        <v>1220</v>
      </c>
      <c r="J82" s="5">
        <v>220</v>
      </c>
      <c r="K82" s="8">
        <v>1000</v>
      </c>
      <c r="L82" s="7">
        <f t="shared" si="6"/>
        <v>-12</v>
      </c>
      <c r="M82" s="16">
        <f t="shared" si="4"/>
        <v>-12000</v>
      </c>
      <c r="N82" s="1" t="s">
        <v>15</v>
      </c>
      <c r="O82" s="2">
        <f t="shared" si="5"/>
        <v>30</v>
      </c>
    </row>
    <row r="83" spans="1:15" x14ac:dyDescent="0.25">
      <c r="A83" s="15" t="s">
        <v>18</v>
      </c>
      <c r="B83" s="5">
        <v>1944</v>
      </c>
      <c r="C83" s="6">
        <v>43806</v>
      </c>
      <c r="D83" s="5" t="str">
        <f>"41904612916"</f>
        <v>41904612916</v>
      </c>
      <c r="E83" s="6">
        <v>43791</v>
      </c>
      <c r="F83" s="6">
        <v>43813</v>
      </c>
      <c r="G83" s="6">
        <v>43826</v>
      </c>
      <c r="H83" s="5" t="s">
        <v>14</v>
      </c>
      <c r="I83" s="5">
        <v>231.31</v>
      </c>
      <c r="J83" s="5">
        <v>41.71</v>
      </c>
      <c r="K83" s="5">
        <v>189.6</v>
      </c>
      <c r="L83" s="7">
        <f t="shared" si="6"/>
        <v>-13</v>
      </c>
      <c r="M83" s="16">
        <f t="shared" si="4"/>
        <v>-2464.7999999999997</v>
      </c>
      <c r="N83" s="1" t="s">
        <v>15</v>
      </c>
      <c r="O83" s="2">
        <f t="shared" si="5"/>
        <v>35</v>
      </c>
    </row>
    <row r="84" spans="1:15" ht="25.5" x14ac:dyDescent="0.25">
      <c r="A84" s="15" t="s">
        <v>160</v>
      </c>
      <c r="B84" s="5">
        <v>2130</v>
      </c>
      <c r="C84" s="6">
        <v>43820</v>
      </c>
      <c r="D84" s="5" t="str">
        <f>"3019539699"</f>
        <v>3019539699</v>
      </c>
      <c r="E84" s="6">
        <v>43804</v>
      </c>
      <c r="F84" s="6">
        <v>43820</v>
      </c>
      <c r="G84" s="6">
        <v>43834</v>
      </c>
      <c r="H84" s="5" t="s">
        <v>14</v>
      </c>
      <c r="I84" s="5">
        <v>70.3</v>
      </c>
      <c r="J84" s="5">
        <v>70.3</v>
      </c>
      <c r="K84" s="5">
        <v>0</v>
      </c>
      <c r="L84" s="7">
        <f t="shared" si="6"/>
        <v>-14</v>
      </c>
      <c r="M84" s="16">
        <f t="shared" si="4"/>
        <v>0</v>
      </c>
      <c r="N84" s="1" t="s">
        <v>15</v>
      </c>
      <c r="O84" s="2">
        <f t="shared" si="5"/>
        <v>30</v>
      </c>
    </row>
    <row r="85" spans="1:15" x14ac:dyDescent="0.25">
      <c r="A85" s="15" t="s">
        <v>62</v>
      </c>
      <c r="B85" s="5">
        <v>1761</v>
      </c>
      <c r="C85" s="6">
        <v>43764</v>
      </c>
      <c r="D85" s="5" t="str">
        <f>"121"</f>
        <v>121</v>
      </c>
      <c r="E85" s="6">
        <v>43745</v>
      </c>
      <c r="F85" s="6">
        <v>43764</v>
      </c>
      <c r="G85" s="6">
        <v>43778</v>
      </c>
      <c r="H85" s="5" t="s">
        <v>14</v>
      </c>
      <c r="I85" s="8">
        <v>2701.04</v>
      </c>
      <c r="J85" s="5">
        <v>487.07</v>
      </c>
      <c r="K85" s="8">
        <v>2213.9699999999998</v>
      </c>
      <c r="L85" s="7">
        <f t="shared" si="6"/>
        <v>-14</v>
      </c>
      <c r="M85" s="16">
        <f t="shared" si="4"/>
        <v>-30995.579999999998</v>
      </c>
      <c r="N85" s="1" t="s">
        <v>15</v>
      </c>
      <c r="O85" s="2">
        <f t="shared" si="5"/>
        <v>33</v>
      </c>
    </row>
    <row r="86" spans="1:15" x14ac:dyDescent="0.25">
      <c r="A86" s="15" t="s">
        <v>62</v>
      </c>
      <c r="B86" s="5">
        <v>1760</v>
      </c>
      <c r="C86" s="6">
        <v>43764</v>
      </c>
      <c r="D86" s="5" t="str">
        <f>"122"</f>
        <v>122</v>
      </c>
      <c r="E86" s="6">
        <v>43746</v>
      </c>
      <c r="F86" s="6">
        <v>43764</v>
      </c>
      <c r="G86" s="6">
        <v>43778</v>
      </c>
      <c r="H86" s="5" t="s">
        <v>14</v>
      </c>
      <c r="I86" s="5">
        <v>80</v>
      </c>
      <c r="J86" s="5">
        <v>14.43</v>
      </c>
      <c r="K86" s="5">
        <v>65.569999999999993</v>
      </c>
      <c r="L86" s="7">
        <f t="shared" si="6"/>
        <v>-14</v>
      </c>
      <c r="M86" s="16">
        <f t="shared" si="4"/>
        <v>-917.9799999999999</v>
      </c>
      <c r="N86" s="1" t="s">
        <v>15</v>
      </c>
      <c r="O86" s="2">
        <f t="shared" si="5"/>
        <v>32</v>
      </c>
    </row>
    <row r="87" spans="1:15" ht="25.5" x14ac:dyDescent="0.25">
      <c r="A87" s="15" t="s">
        <v>63</v>
      </c>
      <c r="B87" s="5">
        <v>1799</v>
      </c>
      <c r="C87" s="6">
        <v>43784</v>
      </c>
      <c r="D87" s="5" t="s">
        <v>64</v>
      </c>
      <c r="E87" s="6">
        <v>43738</v>
      </c>
      <c r="F87" s="6">
        <v>43785</v>
      </c>
      <c r="G87" s="6">
        <v>43799</v>
      </c>
      <c r="H87" s="5" t="s">
        <v>14</v>
      </c>
      <c r="I87" s="8">
        <v>7419.78</v>
      </c>
      <c r="J87" s="5">
        <v>353.32</v>
      </c>
      <c r="K87" s="8">
        <v>7066.46</v>
      </c>
      <c r="L87" s="7">
        <f t="shared" si="6"/>
        <v>-14</v>
      </c>
      <c r="M87" s="16">
        <f t="shared" si="4"/>
        <v>-98930.44</v>
      </c>
      <c r="N87" s="1" t="s">
        <v>15</v>
      </c>
      <c r="O87" s="2">
        <f t="shared" si="5"/>
        <v>61</v>
      </c>
    </row>
    <row r="88" spans="1:15" x14ac:dyDescent="0.25">
      <c r="A88" s="15" t="s">
        <v>65</v>
      </c>
      <c r="B88" s="5">
        <v>1842</v>
      </c>
      <c r="C88" s="6">
        <v>43792</v>
      </c>
      <c r="D88" s="5" t="str">
        <f>"6400049260"</f>
        <v>6400049260</v>
      </c>
      <c r="E88" s="6">
        <v>43769</v>
      </c>
      <c r="F88" s="6">
        <v>43792</v>
      </c>
      <c r="G88" s="6">
        <v>43806</v>
      </c>
      <c r="H88" s="5" t="s">
        <v>14</v>
      </c>
      <c r="I88" s="8">
        <v>19842.95</v>
      </c>
      <c r="J88" s="5">
        <v>763.19</v>
      </c>
      <c r="K88" s="8">
        <v>19079.759999999998</v>
      </c>
      <c r="L88" s="7">
        <f t="shared" si="6"/>
        <v>-14</v>
      </c>
      <c r="M88" s="16">
        <f t="shared" si="4"/>
        <v>-267116.63999999996</v>
      </c>
      <c r="N88" s="1" t="s">
        <v>15</v>
      </c>
      <c r="O88" s="2">
        <f t="shared" si="5"/>
        <v>37</v>
      </c>
    </row>
    <row r="89" spans="1:15" x14ac:dyDescent="0.25">
      <c r="A89" s="15" t="s">
        <v>66</v>
      </c>
      <c r="B89" s="5">
        <v>1782</v>
      </c>
      <c r="C89" s="6">
        <v>43778</v>
      </c>
      <c r="D89" s="5" t="s">
        <v>67</v>
      </c>
      <c r="E89" s="6">
        <v>43761</v>
      </c>
      <c r="F89" s="6">
        <v>43778</v>
      </c>
      <c r="G89" s="6">
        <v>43792</v>
      </c>
      <c r="H89" s="5" t="s">
        <v>14</v>
      </c>
      <c r="I89" s="8">
        <v>3742.17</v>
      </c>
      <c r="J89" s="5">
        <v>674.82</v>
      </c>
      <c r="K89" s="8">
        <v>3067.35</v>
      </c>
      <c r="L89" s="7">
        <f t="shared" si="6"/>
        <v>-14</v>
      </c>
      <c r="M89" s="16">
        <f t="shared" si="4"/>
        <v>-42942.9</v>
      </c>
      <c r="N89" s="1" t="s">
        <v>15</v>
      </c>
      <c r="O89" s="2">
        <f t="shared" si="5"/>
        <v>31</v>
      </c>
    </row>
    <row r="90" spans="1:15" x14ac:dyDescent="0.25">
      <c r="A90" s="15" t="s">
        <v>68</v>
      </c>
      <c r="B90" s="5">
        <v>1843</v>
      </c>
      <c r="C90" s="6">
        <v>43792</v>
      </c>
      <c r="D90" s="5" t="str">
        <f>"19225"</f>
        <v>19225</v>
      </c>
      <c r="E90" s="6">
        <v>43777</v>
      </c>
      <c r="F90" s="6">
        <v>43792</v>
      </c>
      <c r="G90" s="6">
        <v>43807</v>
      </c>
      <c r="H90" s="5" t="s">
        <v>14</v>
      </c>
      <c r="I90" s="8">
        <v>1338.47</v>
      </c>
      <c r="J90" s="5">
        <v>241.36</v>
      </c>
      <c r="K90" s="8">
        <v>1097.1099999999999</v>
      </c>
      <c r="L90" s="7">
        <f t="shared" si="6"/>
        <v>-15</v>
      </c>
      <c r="M90" s="16">
        <f t="shared" si="4"/>
        <v>-16456.649999999998</v>
      </c>
      <c r="N90" s="1" t="s">
        <v>15</v>
      </c>
      <c r="O90" s="2">
        <f t="shared" si="5"/>
        <v>30</v>
      </c>
    </row>
    <row r="91" spans="1:15" x14ac:dyDescent="0.25">
      <c r="A91" s="15" t="s">
        <v>31</v>
      </c>
      <c r="B91" s="5">
        <v>1759</v>
      </c>
      <c r="C91" s="6">
        <v>43764</v>
      </c>
      <c r="D91" s="5" t="str">
        <f>"44"</f>
        <v>44</v>
      </c>
      <c r="E91" s="6">
        <v>43743</v>
      </c>
      <c r="F91" s="6">
        <v>43764</v>
      </c>
      <c r="G91" s="6">
        <v>43779</v>
      </c>
      <c r="H91" s="5" t="s">
        <v>14</v>
      </c>
      <c r="I91" s="8">
        <v>2068.14</v>
      </c>
      <c r="J91" s="5">
        <v>372.94</v>
      </c>
      <c r="K91" s="8">
        <v>1695.2</v>
      </c>
      <c r="L91" s="7">
        <f t="shared" si="6"/>
        <v>-15</v>
      </c>
      <c r="M91" s="16">
        <f t="shared" si="4"/>
        <v>-25428</v>
      </c>
      <c r="N91" s="1" t="s">
        <v>15</v>
      </c>
      <c r="O91" s="2">
        <f t="shared" si="5"/>
        <v>36</v>
      </c>
    </row>
    <row r="92" spans="1:15" x14ac:dyDescent="0.25">
      <c r="A92" s="15" t="s">
        <v>69</v>
      </c>
      <c r="B92" s="5">
        <v>1982</v>
      </c>
      <c r="C92" s="6">
        <v>43813</v>
      </c>
      <c r="D92" s="5" t="str">
        <f>"0002148502"</f>
        <v>0002148502</v>
      </c>
      <c r="E92" s="6">
        <v>43794</v>
      </c>
      <c r="F92" s="6">
        <v>43813</v>
      </c>
      <c r="G92" s="6">
        <v>43830</v>
      </c>
      <c r="H92" s="5" t="s">
        <v>14</v>
      </c>
      <c r="I92" s="8">
        <v>1586</v>
      </c>
      <c r="J92" s="5">
        <v>286</v>
      </c>
      <c r="K92" s="8">
        <v>1300</v>
      </c>
      <c r="L92" s="7">
        <f>+F92-G92</f>
        <v>-17</v>
      </c>
      <c r="M92" s="16">
        <f t="shared" si="4"/>
        <v>-22100</v>
      </c>
      <c r="N92" s="1" t="s">
        <v>15</v>
      </c>
      <c r="O92" s="2">
        <f t="shared" si="5"/>
        <v>36</v>
      </c>
    </row>
    <row r="93" spans="1:15" x14ac:dyDescent="0.25">
      <c r="A93" s="15" t="s">
        <v>70</v>
      </c>
      <c r="B93" s="5">
        <v>1973</v>
      </c>
      <c r="C93" s="6">
        <v>43812</v>
      </c>
      <c r="D93" s="5" t="s">
        <v>71</v>
      </c>
      <c r="E93" s="6">
        <v>43742</v>
      </c>
      <c r="F93" s="6">
        <v>43813</v>
      </c>
      <c r="G93" s="6">
        <v>43830</v>
      </c>
      <c r="H93" s="5" t="s">
        <v>14</v>
      </c>
      <c r="I93" s="5">
        <v>219.6</v>
      </c>
      <c r="J93" s="5">
        <v>39.6</v>
      </c>
      <c r="K93" s="5">
        <v>180</v>
      </c>
      <c r="L93" s="7">
        <f t="shared" si="6"/>
        <v>-17</v>
      </c>
      <c r="M93" s="16">
        <f t="shared" si="4"/>
        <v>-3060</v>
      </c>
      <c r="N93" s="1" t="s">
        <v>15</v>
      </c>
      <c r="O93" s="2">
        <f t="shared" si="5"/>
        <v>88</v>
      </c>
    </row>
    <row r="94" spans="1:15" x14ac:dyDescent="0.25">
      <c r="A94" s="15" t="s">
        <v>52</v>
      </c>
      <c r="B94" s="5">
        <v>1970</v>
      </c>
      <c r="C94" s="6">
        <v>43812</v>
      </c>
      <c r="D94" s="5" t="str">
        <f>"00020190036"</f>
        <v>00020190036</v>
      </c>
      <c r="E94" s="6">
        <v>43799</v>
      </c>
      <c r="F94" s="6">
        <v>43813</v>
      </c>
      <c r="G94" s="6">
        <v>43831</v>
      </c>
      <c r="H94" s="5" t="s">
        <v>14</v>
      </c>
      <c r="I94" s="8">
        <v>96387.78</v>
      </c>
      <c r="J94" s="8">
        <v>8762.5300000000007</v>
      </c>
      <c r="K94" s="8">
        <v>87625.25</v>
      </c>
      <c r="L94" s="7">
        <f t="shared" si="6"/>
        <v>-18</v>
      </c>
      <c r="M94" s="16">
        <f t="shared" si="4"/>
        <v>-1577254.5</v>
      </c>
      <c r="N94" s="1" t="s">
        <v>15</v>
      </c>
      <c r="O94" s="2">
        <f t="shared" si="5"/>
        <v>32</v>
      </c>
    </row>
    <row r="95" spans="1:15" x14ac:dyDescent="0.25">
      <c r="A95" s="15" t="s">
        <v>50</v>
      </c>
      <c r="B95" s="5">
        <v>1816</v>
      </c>
      <c r="C95" s="6">
        <v>43784</v>
      </c>
      <c r="D95" s="5" t="s">
        <v>72</v>
      </c>
      <c r="E95" s="6">
        <v>43773</v>
      </c>
      <c r="F95" s="6">
        <v>43785</v>
      </c>
      <c r="G95" s="6">
        <v>43803</v>
      </c>
      <c r="H95" s="5" t="s">
        <v>14</v>
      </c>
      <c r="I95" s="8">
        <v>2926.38</v>
      </c>
      <c r="J95" s="5">
        <v>527.71</v>
      </c>
      <c r="K95" s="8">
        <v>2398.67</v>
      </c>
      <c r="L95" s="7">
        <f t="shared" si="6"/>
        <v>-18</v>
      </c>
      <c r="M95" s="16">
        <f t="shared" si="4"/>
        <v>-43176.06</v>
      </c>
      <c r="N95" s="1" t="s">
        <v>15</v>
      </c>
      <c r="O95" s="2">
        <f t="shared" si="5"/>
        <v>30</v>
      </c>
    </row>
    <row r="96" spans="1:15" x14ac:dyDescent="0.25">
      <c r="A96" s="15" t="s">
        <v>73</v>
      </c>
      <c r="B96" s="5">
        <v>1819</v>
      </c>
      <c r="C96" s="6">
        <v>43784</v>
      </c>
      <c r="D96" s="5" t="str">
        <f>"000198"</f>
        <v>000198</v>
      </c>
      <c r="E96" s="6">
        <v>43769</v>
      </c>
      <c r="F96" s="6">
        <v>43785</v>
      </c>
      <c r="G96" s="6">
        <v>43803</v>
      </c>
      <c r="H96" s="5" t="s">
        <v>14</v>
      </c>
      <c r="I96" s="5">
        <v>126.6</v>
      </c>
      <c r="J96" s="5">
        <v>22</v>
      </c>
      <c r="K96" s="5">
        <v>104.6</v>
      </c>
      <c r="L96" s="7">
        <f t="shared" si="6"/>
        <v>-18</v>
      </c>
      <c r="M96" s="16">
        <f t="shared" si="4"/>
        <v>-1882.8</v>
      </c>
      <c r="N96" s="1" t="s">
        <v>15</v>
      </c>
      <c r="O96" s="2">
        <f t="shared" si="5"/>
        <v>34</v>
      </c>
    </row>
    <row r="97" spans="1:15" x14ac:dyDescent="0.25">
      <c r="A97" s="15" t="s">
        <v>73</v>
      </c>
      <c r="B97" s="5">
        <v>1819</v>
      </c>
      <c r="C97" s="6">
        <v>43784</v>
      </c>
      <c r="D97" s="5" t="str">
        <f>"000197"</f>
        <v>000197</v>
      </c>
      <c r="E97" s="6">
        <v>43769</v>
      </c>
      <c r="F97" s="6">
        <v>43785</v>
      </c>
      <c r="G97" s="6">
        <v>43803</v>
      </c>
      <c r="H97" s="5" t="s">
        <v>14</v>
      </c>
      <c r="I97" s="5">
        <v>71.52</v>
      </c>
      <c r="J97" s="5">
        <v>12.9</v>
      </c>
      <c r="K97" s="5">
        <v>58.62</v>
      </c>
      <c r="L97" s="7">
        <f>+F97-G97</f>
        <v>-18</v>
      </c>
      <c r="M97" s="16">
        <f t="shared" si="4"/>
        <v>-1055.1599999999999</v>
      </c>
      <c r="N97" s="1" t="s">
        <v>15</v>
      </c>
      <c r="O97" s="2">
        <f t="shared" si="5"/>
        <v>34</v>
      </c>
    </row>
    <row r="98" spans="1:15" x14ac:dyDescent="0.25">
      <c r="A98" s="15" t="s">
        <v>74</v>
      </c>
      <c r="B98" s="5">
        <v>1595</v>
      </c>
      <c r="C98" s="6">
        <v>43749</v>
      </c>
      <c r="D98" s="5" t="s">
        <v>75</v>
      </c>
      <c r="E98" s="6">
        <v>43725</v>
      </c>
      <c r="F98" s="6">
        <v>43750</v>
      </c>
      <c r="G98" s="6">
        <v>43769</v>
      </c>
      <c r="H98" s="5" t="s">
        <v>14</v>
      </c>
      <c r="I98" s="8">
        <v>3050</v>
      </c>
      <c r="J98" s="5">
        <v>550</v>
      </c>
      <c r="K98" s="8">
        <v>2500</v>
      </c>
      <c r="L98" s="7">
        <f t="shared" ref="L98:L124" si="7">+F98-G98</f>
        <v>-19</v>
      </c>
      <c r="M98" s="16">
        <f t="shared" si="4"/>
        <v>-47500</v>
      </c>
      <c r="N98" s="1" t="s">
        <v>15</v>
      </c>
      <c r="O98" s="2">
        <f t="shared" si="5"/>
        <v>44</v>
      </c>
    </row>
    <row r="99" spans="1:15" x14ac:dyDescent="0.25">
      <c r="A99" s="15" t="s">
        <v>76</v>
      </c>
      <c r="B99" s="5">
        <v>1616</v>
      </c>
      <c r="C99" s="6">
        <v>43750</v>
      </c>
      <c r="D99" s="5" t="str">
        <f>"15297"</f>
        <v>15297</v>
      </c>
      <c r="E99" s="6">
        <v>43738</v>
      </c>
      <c r="F99" s="6">
        <v>43750</v>
      </c>
      <c r="G99" s="6">
        <v>43769</v>
      </c>
      <c r="H99" s="5" t="s">
        <v>14</v>
      </c>
      <c r="I99" s="5">
        <v>245.49</v>
      </c>
      <c r="J99" s="5">
        <v>0</v>
      </c>
      <c r="K99" s="5">
        <v>245.49</v>
      </c>
      <c r="L99" s="7">
        <f t="shared" si="7"/>
        <v>-19</v>
      </c>
      <c r="M99" s="16">
        <f t="shared" si="4"/>
        <v>-4664.3100000000004</v>
      </c>
      <c r="N99" s="1" t="s">
        <v>15</v>
      </c>
      <c r="O99" s="2">
        <f t="shared" si="5"/>
        <v>31</v>
      </c>
    </row>
    <row r="100" spans="1:15" x14ac:dyDescent="0.25">
      <c r="A100" s="15" t="s">
        <v>77</v>
      </c>
      <c r="B100" s="5">
        <v>1826</v>
      </c>
      <c r="C100" s="6">
        <v>43791</v>
      </c>
      <c r="D100" s="5" t="s">
        <v>78</v>
      </c>
      <c r="E100" s="6">
        <v>43781</v>
      </c>
      <c r="F100" s="6">
        <v>43792</v>
      </c>
      <c r="G100" s="6">
        <v>43811</v>
      </c>
      <c r="H100" s="5" t="s">
        <v>14</v>
      </c>
      <c r="I100" s="8">
        <v>1372.71</v>
      </c>
      <c r="J100" s="5">
        <v>124.79</v>
      </c>
      <c r="K100" s="8">
        <v>1247.92</v>
      </c>
      <c r="L100" s="7">
        <f t="shared" si="7"/>
        <v>-19</v>
      </c>
      <c r="M100" s="16">
        <f t="shared" si="4"/>
        <v>-23710.480000000003</v>
      </c>
      <c r="N100" s="1" t="s">
        <v>15</v>
      </c>
      <c r="O100" s="2">
        <f t="shared" si="5"/>
        <v>30</v>
      </c>
    </row>
    <row r="101" spans="1:15" x14ac:dyDescent="0.25">
      <c r="A101" s="15" t="s">
        <v>50</v>
      </c>
      <c r="B101" s="5">
        <v>1991</v>
      </c>
      <c r="C101" s="6">
        <v>43813</v>
      </c>
      <c r="D101" s="5" t="s">
        <v>79</v>
      </c>
      <c r="E101" s="6">
        <v>43801</v>
      </c>
      <c r="F101" s="6">
        <v>43813</v>
      </c>
      <c r="G101" s="6">
        <v>43832</v>
      </c>
      <c r="H101" s="5" t="s">
        <v>14</v>
      </c>
      <c r="I101" s="8">
        <v>2926.38</v>
      </c>
      <c r="J101" s="5">
        <v>527.71</v>
      </c>
      <c r="K101" s="8">
        <v>2398.67</v>
      </c>
      <c r="L101" s="7">
        <f t="shared" si="7"/>
        <v>-19</v>
      </c>
      <c r="M101" s="16">
        <f t="shared" si="4"/>
        <v>-45574.73</v>
      </c>
      <c r="N101" s="1" t="s">
        <v>15</v>
      </c>
      <c r="O101" s="2">
        <f t="shared" si="5"/>
        <v>31</v>
      </c>
    </row>
    <row r="102" spans="1:15" x14ac:dyDescent="0.25">
      <c r="A102" s="15" t="s">
        <v>73</v>
      </c>
      <c r="B102" s="5">
        <v>1987</v>
      </c>
      <c r="C102" s="6">
        <v>43813</v>
      </c>
      <c r="D102" s="5" t="str">
        <f>"000225"</f>
        <v>000225</v>
      </c>
      <c r="E102" s="6">
        <v>43799</v>
      </c>
      <c r="F102" s="6">
        <v>43813</v>
      </c>
      <c r="G102" s="6">
        <v>43832</v>
      </c>
      <c r="H102" s="5" t="s">
        <v>14</v>
      </c>
      <c r="I102" s="5">
        <v>266.52</v>
      </c>
      <c r="J102" s="5">
        <v>44.23</v>
      </c>
      <c r="K102" s="5">
        <v>222.29</v>
      </c>
      <c r="L102" s="7">
        <f t="shared" si="7"/>
        <v>-19</v>
      </c>
      <c r="M102" s="16">
        <f t="shared" si="4"/>
        <v>-4223.51</v>
      </c>
      <c r="N102" s="1" t="s">
        <v>15</v>
      </c>
      <c r="O102" s="2">
        <f t="shared" si="5"/>
        <v>33</v>
      </c>
    </row>
    <row r="103" spans="1:15" x14ac:dyDescent="0.25">
      <c r="A103" s="15" t="s">
        <v>73</v>
      </c>
      <c r="B103" s="5">
        <v>1987</v>
      </c>
      <c r="C103" s="6">
        <v>43813</v>
      </c>
      <c r="D103" s="5" t="str">
        <f>"000224"</f>
        <v>000224</v>
      </c>
      <c r="E103" s="6">
        <v>43799</v>
      </c>
      <c r="F103" s="6">
        <v>43813</v>
      </c>
      <c r="G103" s="6">
        <v>43832</v>
      </c>
      <c r="H103" s="5" t="s">
        <v>14</v>
      </c>
      <c r="I103" s="5">
        <v>132.02000000000001</v>
      </c>
      <c r="J103" s="5">
        <v>23.81</v>
      </c>
      <c r="K103" s="5">
        <v>108.21</v>
      </c>
      <c r="L103" s="7">
        <f t="shared" si="7"/>
        <v>-19</v>
      </c>
      <c r="M103" s="16">
        <f t="shared" si="4"/>
        <v>-2055.9899999999998</v>
      </c>
      <c r="N103" s="1" t="s">
        <v>15</v>
      </c>
      <c r="O103" s="2">
        <f t="shared" si="5"/>
        <v>33</v>
      </c>
    </row>
    <row r="104" spans="1:15" x14ac:dyDescent="0.25">
      <c r="A104" s="15" t="s">
        <v>80</v>
      </c>
      <c r="B104" s="5">
        <v>1612</v>
      </c>
      <c r="C104" s="6">
        <v>43750</v>
      </c>
      <c r="D104" s="5" t="str">
        <f>"59"</f>
        <v>59</v>
      </c>
      <c r="E104" s="6">
        <v>43739</v>
      </c>
      <c r="F104" s="6">
        <v>43750</v>
      </c>
      <c r="G104" s="6">
        <v>43769</v>
      </c>
      <c r="H104" s="5" t="s">
        <v>14</v>
      </c>
      <c r="I104" s="5">
        <v>244</v>
      </c>
      <c r="J104" s="5">
        <v>44</v>
      </c>
      <c r="K104" s="5">
        <v>200</v>
      </c>
      <c r="L104" s="7">
        <f t="shared" si="7"/>
        <v>-19</v>
      </c>
      <c r="M104" s="16">
        <f t="shared" si="4"/>
        <v>-3800</v>
      </c>
      <c r="N104" s="1" t="s">
        <v>15</v>
      </c>
      <c r="O104" s="2">
        <f t="shared" si="5"/>
        <v>30</v>
      </c>
    </row>
    <row r="105" spans="1:15" x14ac:dyDescent="0.25">
      <c r="A105" s="15" t="s">
        <v>81</v>
      </c>
      <c r="B105" s="5">
        <v>1626</v>
      </c>
      <c r="C105" s="6">
        <v>43756</v>
      </c>
      <c r="D105" s="5" t="s">
        <v>82</v>
      </c>
      <c r="E105" s="6">
        <v>43738</v>
      </c>
      <c r="F105" s="6">
        <v>43756</v>
      </c>
      <c r="G105" s="6">
        <v>43776</v>
      </c>
      <c r="H105" s="5" t="s">
        <v>14</v>
      </c>
      <c r="I105" s="8">
        <v>1359</v>
      </c>
      <c r="J105" s="5">
        <v>0</v>
      </c>
      <c r="K105" s="8">
        <v>1359</v>
      </c>
      <c r="L105" s="7">
        <f t="shared" si="7"/>
        <v>-20</v>
      </c>
      <c r="M105" s="16">
        <f t="shared" si="4"/>
        <v>-27180</v>
      </c>
      <c r="N105" s="1" t="s">
        <v>15</v>
      </c>
      <c r="O105" s="2">
        <f t="shared" si="5"/>
        <v>38</v>
      </c>
    </row>
    <row r="106" spans="1:15" x14ac:dyDescent="0.25">
      <c r="A106" s="15" t="s">
        <v>83</v>
      </c>
      <c r="B106" s="5">
        <v>1634</v>
      </c>
      <c r="C106" s="6">
        <v>43756</v>
      </c>
      <c r="D106" s="5" t="str">
        <f>"2019902422"</f>
        <v>2019902422</v>
      </c>
      <c r="E106" s="6">
        <v>43745</v>
      </c>
      <c r="F106" s="6">
        <v>43756</v>
      </c>
      <c r="G106" s="6">
        <v>43776</v>
      </c>
      <c r="H106" s="5" t="s">
        <v>14</v>
      </c>
      <c r="I106" s="8">
        <v>1464</v>
      </c>
      <c r="J106" s="5">
        <v>264</v>
      </c>
      <c r="K106" s="8">
        <v>1200</v>
      </c>
      <c r="L106" s="7">
        <f t="shared" si="7"/>
        <v>-20</v>
      </c>
      <c r="M106" s="16">
        <f t="shared" si="4"/>
        <v>-24000</v>
      </c>
      <c r="N106" s="1" t="s">
        <v>15</v>
      </c>
      <c r="O106" s="2">
        <f t="shared" si="5"/>
        <v>31</v>
      </c>
    </row>
    <row r="107" spans="1:15" x14ac:dyDescent="0.25">
      <c r="A107" s="15" t="s">
        <v>83</v>
      </c>
      <c r="B107" s="5">
        <v>1938</v>
      </c>
      <c r="C107" s="6">
        <v>43799</v>
      </c>
      <c r="D107" s="5" t="str">
        <f>"2019902760"</f>
        <v>2019902760</v>
      </c>
      <c r="E107" s="6">
        <v>43788</v>
      </c>
      <c r="F107" s="6">
        <v>43799</v>
      </c>
      <c r="G107" s="6">
        <v>43819</v>
      </c>
      <c r="H107" s="5" t="s">
        <v>14</v>
      </c>
      <c r="I107" s="5">
        <v>976</v>
      </c>
      <c r="J107" s="5">
        <v>176</v>
      </c>
      <c r="K107" s="5">
        <v>800</v>
      </c>
      <c r="L107" s="7">
        <f t="shared" si="7"/>
        <v>-20</v>
      </c>
      <c r="M107" s="16">
        <f t="shared" si="4"/>
        <v>-16000</v>
      </c>
      <c r="N107" s="1" t="s">
        <v>15</v>
      </c>
      <c r="O107" s="2">
        <f t="shared" si="5"/>
        <v>31</v>
      </c>
    </row>
    <row r="108" spans="1:15" x14ac:dyDescent="0.25">
      <c r="A108" s="15" t="s">
        <v>83</v>
      </c>
      <c r="B108" s="5">
        <v>1994</v>
      </c>
      <c r="C108" s="6">
        <v>43813</v>
      </c>
      <c r="D108" s="5" t="str">
        <f>"2019902992"</f>
        <v>2019902992</v>
      </c>
      <c r="E108" s="6">
        <v>43803</v>
      </c>
      <c r="F108" s="6">
        <v>43813</v>
      </c>
      <c r="G108" s="6">
        <v>43833</v>
      </c>
      <c r="H108" s="5" t="s">
        <v>14</v>
      </c>
      <c r="I108" s="5">
        <v>488</v>
      </c>
      <c r="J108" s="5">
        <v>88</v>
      </c>
      <c r="K108" s="5">
        <v>400</v>
      </c>
      <c r="L108" s="7">
        <f t="shared" si="7"/>
        <v>-20</v>
      </c>
      <c r="M108" s="16">
        <f t="shared" si="4"/>
        <v>-8000</v>
      </c>
      <c r="N108" s="1" t="s">
        <v>15</v>
      </c>
      <c r="O108" s="2">
        <f t="shared" si="5"/>
        <v>30</v>
      </c>
    </row>
    <row r="109" spans="1:15" x14ac:dyDescent="0.25">
      <c r="A109" s="15" t="s">
        <v>84</v>
      </c>
      <c r="B109" s="5">
        <v>1769</v>
      </c>
      <c r="C109" s="6">
        <v>43771</v>
      </c>
      <c r="D109" s="5" t="s">
        <v>85</v>
      </c>
      <c r="E109" s="6">
        <v>43754</v>
      </c>
      <c r="F109" s="6">
        <v>43771</v>
      </c>
      <c r="G109" s="6">
        <v>43791</v>
      </c>
      <c r="H109" s="5" t="s">
        <v>14</v>
      </c>
      <c r="I109" s="8">
        <v>1066.52</v>
      </c>
      <c r="J109" s="5">
        <v>192.32</v>
      </c>
      <c r="K109" s="5">
        <v>874.2</v>
      </c>
      <c r="L109" s="7">
        <f t="shared" si="7"/>
        <v>-20</v>
      </c>
      <c r="M109" s="16">
        <f t="shared" si="4"/>
        <v>-17484</v>
      </c>
      <c r="N109" s="1" t="s">
        <v>15</v>
      </c>
      <c r="O109" s="2">
        <f t="shared" si="5"/>
        <v>37</v>
      </c>
    </row>
    <row r="110" spans="1:15" x14ac:dyDescent="0.25">
      <c r="A110" s="15" t="s">
        <v>68</v>
      </c>
      <c r="B110" s="5">
        <v>1639</v>
      </c>
      <c r="C110" s="6">
        <v>43756</v>
      </c>
      <c r="D110" s="5" t="str">
        <f>"19205"</f>
        <v>19205</v>
      </c>
      <c r="E110" s="6">
        <v>43746</v>
      </c>
      <c r="F110" s="6">
        <v>43756</v>
      </c>
      <c r="G110" s="6">
        <v>43777</v>
      </c>
      <c r="H110" s="5" t="s">
        <v>14</v>
      </c>
      <c r="I110" s="5">
        <v>132.94</v>
      </c>
      <c r="J110" s="5">
        <v>23.97</v>
      </c>
      <c r="K110" s="5">
        <v>108.97</v>
      </c>
      <c r="L110" s="7">
        <f t="shared" si="7"/>
        <v>-21</v>
      </c>
      <c r="M110" s="16">
        <f t="shared" si="4"/>
        <v>-2288.37</v>
      </c>
      <c r="N110" s="1" t="s">
        <v>15</v>
      </c>
      <c r="O110" s="2">
        <f t="shared" si="5"/>
        <v>31</v>
      </c>
    </row>
    <row r="111" spans="1:15" ht="25.5" x14ac:dyDescent="0.25">
      <c r="A111" s="15" t="s">
        <v>86</v>
      </c>
      <c r="B111" s="5">
        <v>1611</v>
      </c>
      <c r="C111" s="6">
        <v>43750</v>
      </c>
      <c r="D111" s="5" t="s">
        <v>87</v>
      </c>
      <c r="E111" s="6">
        <v>43741</v>
      </c>
      <c r="F111" s="6">
        <v>43750</v>
      </c>
      <c r="G111" s="6">
        <v>43771</v>
      </c>
      <c r="H111" s="5" t="s">
        <v>14</v>
      </c>
      <c r="I111" s="5">
        <v>943.5</v>
      </c>
      <c r="J111" s="5">
        <v>0</v>
      </c>
      <c r="K111" s="5">
        <v>943.5</v>
      </c>
      <c r="L111" s="7">
        <f t="shared" si="7"/>
        <v>-21</v>
      </c>
      <c r="M111" s="16">
        <f t="shared" si="4"/>
        <v>-19813.5</v>
      </c>
      <c r="N111" s="1" t="s">
        <v>15</v>
      </c>
      <c r="O111" s="2">
        <f t="shared" si="5"/>
        <v>30</v>
      </c>
    </row>
    <row r="112" spans="1:15" x14ac:dyDescent="0.25">
      <c r="A112" s="15" t="s">
        <v>69</v>
      </c>
      <c r="B112" s="5">
        <v>1986</v>
      </c>
      <c r="C112" s="6">
        <v>43813</v>
      </c>
      <c r="D112" s="5" t="str">
        <f>"0002151531"</f>
        <v>0002151531</v>
      </c>
      <c r="E112" s="6">
        <v>43799</v>
      </c>
      <c r="F112" s="6">
        <v>43813</v>
      </c>
      <c r="G112" s="6">
        <v>43834</v>
      </c>
      <c r="H112" s="5" t="s">
        <v>14</v>
      </c>
      <c r="I112" s="5">
        <v>861.93</v>
      </c>
      <c r="J112" s="5">
        <v>0</v>
      </c>
      <c r="K112" s="5">
        <v>861.93</v>
      </c>
      <c r="L112" s="7">
        <f t="shared" si="7"/>
        <v>-21</v>
      </c>
      <c r="M112" s="16">
        <f t="shared" si="4"/>
        <v>-18100.53</v>
      </c>
      <c r="N112" s="1" t="s">
        <v>15</v>
      </c>
      <c r="O112" s="2">
        <f t="shared" si="5"/>
        <v>35</v>
      </c>
    </row>
    <row r="113" spans="1:15" x14ac:dyDescent="0.25">
      <c r="A113" s="15" t="s">
        <v>69</v>
      </c>
      <c r="B113" s="5">
        <v>1981</v>
      </c>
      <c r="C113" s="6">
        <v>43813</v>
      </c>
      <c r="D113" s="5" t="str">
        <f>"0001132983"</f>
        <v>0001132983</v>
      </c>
      <c r="E113" s="6">
        <v>43799</v>
      </c>
      <c r="F113" s="6">
        <v>43813</v>
      </c>
      <c r="G113" s="6">
        <v>43834</v>
      </c>
      <c r="H113" s="5" t="s">
        <v>14</v>
      </c>
      <c r="I113" s="8">
        <v>1491.5</v>
      </c>
      <c r="J113" s="5">
        <v>0</v>
      </c>
      <c r="K113" s="8">
        <v>1491.5</v>
      </c>
      <c r="L113" s="7">
        <f t="shared" si="7"/>
        <v>-21</v>
      </c>
      <c r="M113" s="16">
        <f t="shared" si="4"/>
        <v>-31321.5</v>
      </c>
      <c r="N113" s="1" t="s">
        <v>15</v>
      </c>
      <c r="O113" s="2">
        <f t="shared" si="5"/>
        <v>35</v>
      </c>
    </row>
    <row r="114" spans="1:15" x14ac:dyDescent="0.25">
      <c r="A114" s="15" t="s">
        <v>88</v>
      </c>
      <c r="B114" s="5">
        <v>1785</v>
      </c>
      <c r="C114" s="6">
        <v>43778</v>
      </c>
      <c r="D114" s="5" t="str">
        <f>"163"</f>
        <v>163</v>
      </c>
      <c r="E114" s="6">
        <v>43769</v>
      </c>
      <c r="F114" s="6">
        <v>43778</v>
      </c>
      <c r="G114" s="6">
        <v>43799</v>
      </c>
      <c r="H114" s="5" t="s">
        <v>14</v>
      </c>
      <c r="I114" s="5">
        <v>219.6</v>
      </c>
      <c r="J114" s="5">
        <v>39.6</v>
      </c>
      <c r="K114" s="5">
        <v>180</v>
      </c>
      <c r="L114" s="7">
        <f t="shared" si="7"/>
        <v>-21</v>
      </c>
      <c r="M114" s="16">
        <f t="shared" si="4"/>
        <v>-3780</v>
      </c>
      <c r="N114" s="1" t="s">
        <v>15</v>
      </c>
      <c r="O114" s="2">
        <f t="shared" si="5"/>
        <v>30</v>
      </c>
    </row>
    <row r="115" spans="1:15" ht="25.5" x14ac:dyDescent="0.25">
      <c r="A115" s="15" t="s">
        <v>86</v>
      </c>
      <c r="B115" s="5">
        <v>1989</v>
      </c>
      <c r="C115" s="6">
        <v>43813</v>
      </c>
      <c r="D115" s="5" t="s">
        <v>89</v>
      </c>
      <c r="E115" s="6">
        <v>43779</v>
      </c>
      <c r="F115" s="6">
        <v>43813</v>
      </c>
      <c r="G115" s="6">
        <v>43835</v>
      </c>
      <c r="H115" s="5" t="s">
        <v>14</v>
      </c>
      <c r="I115" s="5">
        <v>962</v>
      </c>
      <c r="J115" s="5">
        <v>0</v>
      </c>
      <c r="K115" s="5">
        <v>962</v>
      </c>
      <c r="L115" s="7">
        <f t="shared" si="7"/>
        <v>-22</v>
      </c>
      <c r="M115" s="16">
        <f t="shared" si="4"/>
        <v>-21164</v>
      </c>
      <c r="N115" s="1" t="s">
        <v>15</v>
      </c>
      <c r="O115" s="2">
        <f t="shared" si="5"/>
        <v>56</v>
      </c>
    </row>
    <row r="116" spans="1:15" x14ac:dyDescent="0.25">
      <c r="A116" s="15" t="s">
        <v>90</v>
      </c>
      <c r="B116" s="5">
        <v>2114</v>
      </c>
      <c r="C116" s="6">
        <v>43820</v>
      </c>
      <c r="D116" s="5" t="s">
        <v>91</v>
      </c>
      <c r="E116" s="6">
        <v>43769</v>
      </c>
      <c r="F116" s="6">
        <v>43820</v>
      </c>
      <c r="G116" s="6">
        <v>43842</v>
      </c>
      <c r="H116" s="5" t="s">
        <v>14</v>
      </c>
      <c r="I116" s="5">
        <v>62.22</v>
      </c>
      <c r="J116" s="5">
        <v>11.22</v>
      </c>
      <c r="K116" s="5">
        <v>51</v>
      </c>
      <c r="L116" s="7">
        <f t="shared" si="7"/>
        <v>-22</v>
      </c>
      <c r="M116" s="16">
        <f t="shared" si="4"/>
        <v>-1122</v>
      </c>
      <c r="N116" s="1" t="s">
        <v>15</v>
      </c>
      <c r="O116" s="2">
        <f t="shared" si="5"/>
        <v>73</v>
      </c>
    </row>
    <row r="117" spans="1:15" x14ac:dyDescent="0.25">
      <c r="A117" s="15" t="s">
        <v>84</v>
      </c>
      <c r="B117" s="5">
        <v>1768</v>
      </c>
      <c r="C117" s="6">
        <v>43771</v>
      </c>
      <c r="D117" s="5" t="s">
        <v>92</v>
      </c>
      <c r="E117" s="6">
        <v>43750</v>
      </c>
      <c r="F117" s="6">
        <v>43771</v>
      </c>
      <c r="G117" s="6">
        <v>43793</v>
      </c>
      <c r="H117" s="5" t="s">
        <v>14</v>
      </c>
      <c r="I117" s="8">
        <v>4758</v>
      </c>
      <c r="J117" s="5">
        <v>858</v>
      </c>
      <c r="K117" s="8">
        <v>3900</v>
      </c>
      <c r="L117" s="7">
        <f>+F117-G117</f>
        <v>-22</v>
      </c>
      <c r="M117" s="16">
        <f t="shared" si="4"/>
        <v>-85800</v>
      </c>
      <c r="N117" s="1" t="s">
        <v>15</v>
      </c>
      <c r="O117" s="2">
        <f t="shared" si="5"/>
        <v>43</v>
      </c>
    </row>
    <row r="118" spans="1:15" x14ac:dyDescent="0.25">
      <c r="A118" s="15" t="s">
        <v>76</v>
      </c>
      <c r="B118" s="5">
        <v>1948</v>
      </c>
      <c r="C118" s="6">
        <v>43806</v>
      </c>
      <c r="D118" s="5" t="str">
        <f>"20136"</f>
        <v>20136</v>
      </c>
      <c r="E118" s="6">
        <v>43798</v>
      </c>
      <c r="F118" s="6">
        <v>43806</v>
      </c>
      <c r="G118" s="6">
        <v>43829</v>
      </c>
      <c r="H118" s="5" t="s">
        <v>14</v>
      </c>
      <c r="I118" s="5">
        <v>153.09</v>
      </c>
      <c r="J118" s="5">
        <v>0</v>
      </c>
      <c r="K118" s="5">
        <v>153.09</v>
      </c>
      <c r="L118" s="7">
        <f t="shared" si="7"/>
        <v>-23</v>
      </c>
      <c r="M118" s="16">
        <f t="shared" si="4"/>
        <v>-3521.07</v>
      </c>
      <c r="N118" s="1" t="s">
        <v>15</v>
      </c>
      <c r="O118" s="2">
        <f t="shared" si="5"/>
        <v>31</v>
      </c>
    </row>
    <row r="119" spans="1:15" x14ac:dyDescent="0.25">
      <c r="A119" s="15" t="s">
        <v>76</v>
      </c>
      <c r="B119" s="5">
        <v>1949</v>
      </c>
      <c r="C119" s="6">
        <v>43806</v>
      </c>
      <c r="D119" s="5" t="str">
        <f>"20135"</f>
        <v>20135</v>
      </c>
      <c r="E119" s="6">
        <v>43798</v>
      </c>
      <c r="F119" s="6">
        <v>43806</v>
      </c>
      <c r="G119" s="6">
        <v>43829</v>
      </c>
      <c r="H119" s="5" t="s">
        <v>14</v>
      </c>
      <c r="I119" s="5">
        <v>11.9</v>
      </c>
      <c r="J119" s="5">
        <v>2.15</v>
      </c>
      <c r="K119" s="5">
        <v>9.75</v>
      </c>
      <c r="L119" s="7">
        <f t="shared" si="7"/>
        <v>-23</v>
      </c>
      <c r="M119" s="16">
        <f t="shared" si="4"/>
        <v>-224.25</v>
      </c>
      <c r="N119" s="1" t="s">
        <v>15</v>
      </c>
      <c r="O119" s="2">
        <f t="shared" si="5"/>
        <v>31</v>
      </c>
    </row>
    <row r="120" spans="1:15" ht="25.5" x14ac:dyDescent="0.25">
      <c r="A120" s="15" t="s">
        <v>93</v>
      </c>
      <c r="B120" s="5">
        <v>1945</v>
      </c>
      <c r="C120" s="6">
        <v>43806</v>
      </c>
      <c r="D120" s="5" t="str">
        <f>"1010582202"</f>
        <v>1010582202</v>
      </c>
      <c r="E120" s="6">
        <v>43798</v>
      </c>
      <c r="F120" s="6">
        <v>43806</v>
      </c>
      <c r="G120" s="6">
        <v>43830</v>
      </c>
      <c r="H120" s="5" t="s">
        <v>14</v>
      </c>
      <c r="I120" s="5">
        <v>434.91</v>
      </c>
      <c r="J120" s="5">
        <v>78.430000000000007</v>
      </c>
      <c r="K120" s="5">
        <v>356.48</v>
      </c>
      <c r="L120" s="7">
        <f t="shared" si="7"/>
        <v>-24</v>
      </c>
      <c r="M120" s="16">
        <f t="shared" si="4"/>
        <v>-8555.52</v>
      </c>
      <c r="N120" s="1" t="s">
        <v>15</v>
      </c>
      <c r="O120" s="2">
        <f t="shared" si="5"/>
        <v>32</v>
      </c>
    </row>
    <row r="121" spans="1:15" ht="25.5" x14ac:dyDescent="0.25">
      <c r="A121" s="15" t="s">
        <v>93</v>
      </c>
      <c r="B121" s="5">
        <v>1946</v>
      </c>
      <c r="C121" s="6">
        <v>43806</v>
      </c>
      <c r="D121" s="5" t="str">
        <f>"1010582201"</f>
        <v>1010582201</v>
      </c>
      <c r="E121" s="6">
        <v>43798</v>
      </c>
      <c r="F121" s="6">
        <v>43806</v>
      </c>
      <c r="G121" s="6">
        <v>43830</v>
      </c>
      <c r="H121" s="5" t="s">
        <v>14</v>
      </c>
      <c r="I121" s="5">
        <v>149.05000000000001</v>
      </c>
      <c r="J121" s="5">
        <v>26.88</v>
      </c>
      <c r="K121" s="5">
        <v>122.17</v>
      </c>
      <c r="L121" s="7">
        <f t="shared" si="7"/>
        <v>-24</v>
      </c>
      <c r="M121" s="16">
        <f t="shared" si="4"/>
        <v>-2932.08</v>
      </c>
      <c r="N121" s="1" t="s">
        <v>15</v>
      </c>
      <c r="O121" s="2">
        <f t="shared" si="5"/>
        <v>32</v>
      </c>
    </row>
    <row r="122" spans="1:15" x14ac:dyDescent="0.25">
      <c r="A122" s="15" t="s">
        <v>94</v>
      </c>
      <c r="B122" s="5">
        <v>2116</v>
      </c>
      <c r="C122" s="6">
        <v>43820</v>
      </c>
      <c r="D122" s="5" t="str">
        <f>"130330"</f>
        <v>130330</v>
      </c>
      <c r="E122" s="6">
        <v>43799</v>
      </c>
      <c r="F122" s="6">
        <v>43820</v>
      </c>
      <c r="G122" s="6">
        <v>43844</v>
      </c>
      <c r="H122" s="5" t="s">
        <v>14</v>
      </c>
      <c r="I122" s="5">
        <v>78.58</v>
      </c>
      <c r="J122" s="5">
        <v>14.17</v>
      </c>
      <c r="K122" s="5">
        <v>64.41</v>
      </c>
      <c r="L122" s="7">
        <f t="shared" si="7"/>
        <v>-24</v>
      </c>
      <c r="M122" s="16">
        <f t="shared" si="4"/>
        <v>-1545.84</v>
      </c>
      <c r="N122" s="1" t="s">
        <v>15</v>
      </c>
      <c r="O122" s="2">
        <f t="shared" si="5"/>
        <v>45</v>
      </c>
    </row>
    <row r="123" spans="1:15" x14ac:dyDescent="0.25">
      <c r="A123" s="15" t="s">
        <v>94</v>
      </c>
      <c r="B123" s="5">
        <v>1630</v>
      </c>
      <c r="C123" s="6">
        <v>43756</v>
      </c>
      <c r="D123" s="5" t="str">
        <f>"103439"</f>
        <v>103439</v>
      </c>
      <c r="E123" s="6">
        <v>43738</v>
      </c>
      <c r="F123" s="6">
        <v>43756</v>
      </c>
      <c r="G123" s="6">
        <v>43780</v>
      </c>
      <c r="H123" s="5" t="s">
        <v>14</v>
      </c>
      <c r="I123" s="5">
        <v>223.71</v>
      </c>
      <c r="J123" s="5">
        <v>40.340000000000003</v>
      </c>
      <c r="K123" s="5">
        <v>183.37</v>
      </c>
      <c r="L123" s="7">
        <f t="shared" si="7"/>
        <v>-24</v>
      </c>
      <c r="M123" s="16">
        <f t="shared" si="4"/>
        <v>-4400.88</v>
      </c>
      <c r="N123" s="1" t="s">
        <v>15</v>
      </c>
      <c r="O123" s="2">
        <f t="shared" si="5"/>
        <v>42</v>
      </c>
    </row>
    <row r="124" spans="1:15" x14ac:dyDescent="0.25">
      <c r="A124" s="15" t="s">
        <v>94</v>
      </c>
      <c r="B124" s="5">
        <v>1628</v>
      </c>
      <c r="C124" s="6">
        <v>43756</v>
      </c>
      <c r="D124" s="5" t="str">
        <f>"103445"</f>
        <v>103445</v>
      </c>
      <c r="E124" s="6">
        <v>43738</v>
      </c>
      <c r="F124" s="6">
        <v>43756</v>
      </c>
      <c r="G124" s="6">
        <v>43780</v>
      </c>
      <c r="H124" s="5" t="s">
        <v>14</v>
      </c>
      <c r="I124" s="5">
        <v>79.849999999999994</v>
      </c>
      <c r="J124" s="5">
        <v>14.4</v>
      </c>
      <c r="K124" s="5">
        <v>65.45</v>
      </c>
      <c r="L124" s="7">
        <f t="shared" si="7"/>
        <v>-24</v>
      </c>
      <c r="M124" s="16">
        <f t="shared" si="4"/>
        <v>-1570.8000000000002</v>
      </c>
      <c r="N124" s="1" t="s">
        <v>15</v>
      </c>
      <c r="O124" s="2">
        <f t="shared" si="5"/>
        <v>42</v>
      </c>
    </row>
    <row r="125" spans="1:15" x14ac:dyDescent="0.25">
      <c r="A125" s="15" t="s">
        <v>94</v>
      </c>
      <c r="B125" s="5">
        <v>1632</v>
      </c>
      <c r="C125" s="6">
        <v>43756</v>
      </c>
      <c r="D125" s="5" t="str">
        <f>"103444"</f>
        <v>103444</v>
      </c>
      <c r="E125" s="6">
        <v>43738</v>
      </c>
      <c r="F125" s="6">
        <v>43756</v>
      </c>
      <c r="G125" s="6">
        <v>43780</v>
      </c>
      <c r="H125" s="5" t="s">
        <v>14</v>
      </c>
      <c r="I125" s="5">
        <v>77.400000000000006</v>
      </c>
      <c r="J125" s="5">
        <v>13.96</v>
      </c>
      <c r="K125" s="5">
        <v>63.44</v>
      </c>
      <c r="L125" s="7">
        <f>+F125-G125</f>
        <v>-24</v>
      </c>
      <c r="M125" s="16">
        <f t="shared" si="4"/>
        <v>-1522.56</v>
      </c>
      <c r="N125" s="1" t="s">
        <v>15</v>
      </c>
      <c r="O125" s="2">
        <f t="shared" si="5"/>
        <v>42</v>
      </c>
    </row>
    <row r="126" spans="1:15" x14ac:dyDescent="0.25">
      <c r="A126" s="15" t="s">
        <v>94</v>
      </c>
      <c r="B126" s="5">
        <v>2117</v>
      </c>
      <c r="C126" s="6">
        <v>43820</v>
      </c>
      <c r="D126" s="5" t="str">
        <f>"130325"</f>
        <v>130325</v>
      </c>
      <c r="E126" s="6">
        <v>43799</v>
      </c>
      <c r="F126" s="6">
        <v>43820</v>
      </c>
      <c r="G126" s="6">
        <v>43844</v>
      </c>
      <c r="H126" s="5" t="s">
        <v>14</v>
      </c>
      <c r="I126" s="5">
        <v>78.73</v>
      </c>
      <c r="J126" s="5">
        <v>14.2</v>
      </c>
      <c r="K126" s="5">
        <v>64.53</v>
      </c>
      <c r="L126" s="7">
        <f t="shared" ref="L126:L157" si="8">+F126-G126</f>
        <v>-24</v>
      </c>
      <c r="M126" s="16">
        <f t="shared" si="4"/>
        <v>-1548.72</v>
      </c>
      <c r="N126" s="1" t="s">
        <v>15</v>
      </c>
      <c r="O126" s="2">
        <f t="shared" si="5"/>
        <v>45</v>
      </c>
    </row>
    <row r="127" spans="1:15" x14ac:dyDescent="0.25">
      <c r="A127" s="15" t="s">
        <v>94</v>
      </c>
      <c r="B127" s="5">
        <v>1631</v>
      </c>
      <c r="C127" s="6">
        <v>43756</v>
      </c>
      <c r="D127" s="5" t="str">
        <f>"103442"</f>
        <v>103442</v>
      </c>
      <c r="E127" s="6">
        <v>43738</v>
      </c>
      <c r="F127" s="6">
        <v>43756</v>
      </c>
      <c r="G127" s="6">
        <v>43780</v>
      </c>
      <c r="H127" s="5" t="s">
        <v>14</v>
      </c>
      <c r="I127" s="5">
        <v>77.150000000000006</v>
      </c>
      <c r="J127" s="5">
        <v>13.91</v>
      </c>
      <c r="K127" s="5">
        <v>63.24</v>
      </c>
      <c r="L127" s="7">
        <f t="shared" si="8"/>
        <v>-24</v>
      </c>
      <c r="M127" s="16">
        <f t="shared" si="4"/>
        <v>-1517.76</v>
      </c>
      <c r="N127" s="1" t="s">
        <v>15</v>
      </c>
      <c r="O127" s="2">
        <f t="shared" si="5"/>
        <v>42</v>
      </c>
    </row>
    <row r="128" spans="1:15" x14ac:dyDescent="0.25">
      <c r="A128" s="15" t="s">
        <v>94</v>
      </c>
      <c r="B128" s="5">
        <v>2120</v>
      </c>
      <c r="C128" s="6">
        <v>43820</v>
      </c>
      <c r="D128" s="5" t="str">
        <f>"130328"</f>
        <v>130328</v>
      </c>
      <c r="E128" s="6">
        <v>43799</v>
      </c>
      <c r="F128" s="6">
        <v>43820</v>
      </c>
      <c r="G128" s="6">
        <v>43844</v>
      </c>
      <c r="H128" s="5" t="s">
        <v>14</v>
      </c>
      <c r="I128" s="5">
        <v>84.63</v>
      </c>
      <c r="J128" s="5">
        <v>15.26</v>
      </c>
      <c r="K128" s="5">
        <v>69.37</v>
      </c>
      <c r="L128" s="7">
        <f t="shared" si="8"/>
        <v>-24</v>
      </c>
      <c r="M128" s="16">
        <f t="shared" si="4"/>
        <v>-1664.88</v>
      </c>
      <c r="N128" s="1" t="s">
        <v>15</v>
      </c>
      <c r="O128" s="2">
        <f t="shared" si="5"/>
        <v>45</v>
      </c>
    </row>
    <row r="129" spans="1:15" x14ac:dyDescent="0.25">
      <c r="A129" s="15" t="s">
        <v>94</v>
      </c>
      <c r="B129" s="5">
        <v>1629</v>
      </c>
      <c r="C129" s="6">
        <v>43756</v>
      </c>
      <c r="D129" s="5" t="str">
        <f>"103441"</f>
        <v>103441</v>
      </c>
      <c r="E129" s="6">
        <v>43738</v>
      </c>
      <c r="F129" s="6">
        <v>43756</v>
      </c>
      <c r="G129" s="6">
        <v>43780</v>
      </c>
      <c r="H129" s="5" t="s">
        <v>14</v>
      </c>
      <c r="I129" s="5">
        <v>78.06</v>
      </c>
      <c r="J129" s="5">
        <v>14.08</v>
      </c>
      <c r="K129" s="5">
        <v>63.98</v>
      </c>
      <c r="L129" s="7">
        <f t="shared" si="8"/>
        <v>-24</v>
      </c>
      <c r="M129" s="16">
        <f t="shared" si="4"/>
        <v>-1535.52</v>
      </c>
      <c r="N129" s="1" t="s">
        <v>15</v>
      </c>
      <c r="O129" s="2">
        <f t="shared" si="5"/>
        <v>42</v>
      </c>
    </row>
    <row r="130" spans="1:15" x14ac:dyDescent="0.25">
      <c r="A130" s="15" t="s">
        <v>94</v>
      </c>
      <c r="B130" s="5">
        <v>1627</v>
      </c>
      <c r="C130" s="6">
        <v>43756</v>
      </c>
      <c r="D130" s="5" t="str">
        <f>"103440"</f>
        <v>103440</v>
      </c>
      <c r="E130" s="6">
        <v>43738</v>
      </c>
      <c r="F130" s="6">
        <v>43756</v>
      </c>
      <c r="G130" s="6">
        <v>43780</v>
      </c>
      <c r="H130" s="5" t="s">
        <v>14</v>
      </c>
      <c r="I130" s="5">
        <v>460.7</v>
      </c>
      <c r="J130" s="5">
        <v>83.08</v>
      </c>
      <c r="K130" s="5">
        <v>377.62</v>
      </c>
      <c r="L130" s="7">
        <f t="shared" si="8"/>
        <v>-24</v>
      </c>
      <c r="M130" s="16">
        <f t="shared" si="4"/>
        <v>-9062.880000000001</v>
      </c>
      <c r="N130" s="1" t="s">
        <v>15</v>
      </c>
      <c r="O130" s="2">
        <f t="shared" si="5"/>
        <v>42</v>
      </c>
    </row>
    <row r="131" spans="1:15" x14ac:dyDescent="0.25">
      <c r="A131" s="15" t="s">
        <v>94</v>
      </c>
      <c r="B131" s="5">
        <v>1627</v>
      </c>
      <c r="C131" s="6">
        <v>43756</v>
      </c>
      <c r="D131" s="5" t="str">
        <f>"103443"</f>
        <v>103443</v>
      </c>
      <c r="E131" s="6">
        <v>43738</v>
      </c>
      <c r="F131" s="6">
        <v>43756</v>
      </c>
      <c r="G131" s="6">
        <v>43780</v>
      </c>
      <c r="H131" s="5" t="s">
        <v>14</v>
      </c>
      <c r="I131" s="5">
        <v>95.73</v>
      </c>
      <c r="J131" s="5">
        <v>17.260000000000002</v>
      </c>
      <c r="K131" s="5">
        <v>78.47</v>
      </c>
      <c r="L131" s="7">
        <f t="shared" si="8"/>
        <v>-24</v>
      </c>
      <c r="M131" s="16">
        <f t="shared" ref="M131:M194" si="9">+L131*K131</f>
        <v>-1883.28</v>
      </c>
      <c r="N131" s="1" t="s">
        <v>15</v>
      </c>
      <c r="O131" s="2">
        <f t="shared" si="5"/>
        <v>42</v>
      </c>
    </row>
    <row r="132" spans="1:15" x14ac:dyDescent="0.25">
      <c r="A132" s="15" t="s">
        <v>94</v>
      </c>
      <c r="B132" s="5">
        <v>2118</v>
      </c>
      <c r="C132" s="6">
        <v>43820</v>
      </c>
      <c r="D132" s="5" t="str">
        <f>"130326"</f>
        <v>130326</v>
      </c>
      <c r="E132" s="6">
        <v>43799</v>
      </c>
      <c r="F132" s="6">
        <v>43820</v>
      </c>
      <c r="G132" s="6">
        <v>43844</v>
      </c>
      <c r="H132" s="5" t="s">
        <v>14</v>
      </c>
      <c r="I132" s="5">
        <v>226.82</v>
      </c>
      <c r="J132" s="5">
        <v>40.9</v>
      </c>
      <c r="K132" s="5">
        <v>185.92</v>
      </c>
      <c r="L132" s="7">
        <f t="shared" si="8"/>
        <v>-24</v>
      </c>
      <c r="M132" s="16">
        <f t="shared" si="9"/>
        <v>-4462.08</v>
      </c>
      <c r="N132" s="1" t="s">
        <v>15</v>
      </c>
      <c r="O132" s="2">
        <f t="shared" ref="O132:O195" si="10">+G132-E132</f>
        <v>45</v>
      </c>
    </row>
    <row r="133" spans="1:15" x14ac:dyDescent="0.25">
      <c r="A133" s="15" t="s">
        <v>94</v>
      </c>
      <c r="B133" s="5">
        <v>2121</v>
      </c>
      <c r="C133" s="6">
        <v>43820</v>
      </c>
      <c r="D133" s="5" t="str">
        <f>"130331"</f>
        <v>130331</v>
      </c>
      <c r="E133" s="6">
        <v>43799</v>
      </c>
      <c r="F133" s="6">
        <v>43820</v>
      </c>
      <c r="G133" s="6">
        <v>43844</v>
      </c>
      <c r="H133" s="5" t="s">
        <v>14</v>
      </c>
      <c r="I133" s="5">
        <v>434.48</v>
      </c>
      <c r="J133" s="5">
        <v>78.349999999999994</v>
      </c>
      <c r="K133" s="5">
        <v>356.13</v>
      </c>
      <c r="L133" s="7">
        <f t="shared" si="8"/>
        <v>-24</v>
      </c>
      <c r="M133" s="16">
        <f t="shared" si="9"/>
        <v>-8547.119999999999</v>
      </c>
      <c r="N133" s="1" t="s">
        <v>15</v>
      </c>
      <c r="O133" s="2">
        <f t="shared" si="10"/>
        <v>45</v>
      </c>
    </row>
    <row r="134" spans="1:15" x14ac:dyDescent="0.25">
      <c r="A134" s="15" t="s">
        <v>94</v>
      </c>
      <c r="B134" s="5">
        <v>2121</v>
      </c>
      <c r="C134" s="6">
        <v>43820</v>
      </c>
      <c r="D134" s="5" t="str">
        <f>"130329"</f>
        <v>130329</v>
      </c>
      <c r="E134" s="6">
        <v>43799</v>
      </c>
      <c r="F134" s="6">
        <v>43820</v>
      </c>
      <c r="G134" s="6">
        <v>43844</v>
      </c>
      <c r="H134" s="5" t="s">
        <v>14</v>
      </c>
      <c r="I134" s="5">
        <v>95.73</v>
      </c>
      <c r="J134" s="5">
        <v>17.260000000000002</v>
      </c>
      <c r="K134" s="5">
        <v>78.47</v>
      </c>
      <c r="L134" s="7">
        <f t="shared" si="8"/>
        <v>-24</v>
      </c>
      <c r="M134" s="16">
        <f t="shared" si="9"/>
        <v>-1883.28</v>
      </c>
      <c r="N134" s="1" t="s">
        <v>15</v>
      </c>
      <c r="O134" s="2">
        <f t="shared" si="10"/>
        <v>45</v>
      </c>
    </row>
    <row r="135" spans="1:15" x14ac:dyDescent="0.25">
      <c r="A135" s="15" t="s">
        <v>94</v>
      </c>
      <c r="B135" s="5">
        <v>2119</v>
      </c>
      <c r="C135" s="6">
        <v>43820</v>
      </c>
      <c r="D135" s="5" t="str">
        <f>"130327"</f>
        <v>130327</v>
      </c>
      <c r="E135" s="6">
        <v>43799</v>
      </c>
      <c r="F135" s="6">
        <v>43820</v>
      </c>
      <c r="G135" s="6">
        <v>43844</v>
      </c>
      <c r="H135" s="5" t="s">
        <v>14</v>
      </c>
      <c r="I135" s="5">
        <v>80.03</v>
      </c>
      <c r="J135" s="5">
        <v>14.43</v>
      </c>
      <c r="K135" s="5">
        <v>65.599999999999994</v>
      </c>
      <c r="L135" s="7">
        <f t="shared" si="8"/>
        <v>-24</v>
      </c>
      <c r="M135" s="16">
        <f t="shared" si="9"/>
        <v>-1574.3999999999999</v>
      </c>
      <c r="N135" s="1" t="s">
        <v>15</v>
      </c>
      <c r="O135" s="2">
        <f t="shared" si="10"/>
        <v>45</v>
      </c>
    </row>
    <row r="136" spans="1:15" x14ac:dyDescent="0.25">
      <c r="A136" s="15" t="s">
        <v>69</v>
      </c>
      <c r="B136" s="5">
        <v>1821</v>
      </c>
      <c r="C136" s="6">
        <v>43784</v>
      </c>
      <c r="D136" s="5" t="str">
        <f>"0002145587"</f>
        <v>0002145587</v>
      </c>
      <c r="E136" s="6">
        <v>43769</v>
      </c>
      <c r="F136" s="6">
        <v>43785</v>
      </c>
      <c r="G136" s="6">
        <v>43810</v>
      </c>
      <c r="H136" s="5" t="s">
        <v>14</v>
      </c>
      <c r="I136" s="5">
        <v>584.99</v>
      </c>
      <c r="J136" s="5">
        <v>105.49</v>
      </c>
      <c r="K136" s="5">
        <v>479.5</v>
      </c>
      <c r="L136" s="7">
        <f t="shared" si="8"/>
        <v>-25</v>
      </c>
      <c r="M136" s="16">
        <f t="shared" si="9"/>
        <v>-11987.5</v>
      </c>
      <c r="N136" s="1" t="s">
        <v>15</v>
      </c>
      <c r="O136" s="2">
        <f t="shared" si="10"/>
        <v>41</v>
      </c>
    </row>
    <row r="137" spans="1:15" x14ac:dyDescent="0.25">
      <c r="A137" s="15" t="s">
        <v>69</v>
      </c>
      <c r="B137" s="5">
        <v>1820</v>
      </c>
      <c r="C137" s="6">
        <v>43784</v>
      </c>
      <c r="D137" s="5" t="str">
        <f>"0001130217"</f>
        <v>0001130217</v>
      </c>
      <c r="E137" s="6">
        <v>43769</v>
      </c>
      <c r="F137" s="6">
        <v>43785</v>
      </c>
      <c r="G137" s="6">
        <v>43810</v>
      </c>
      <c r="H137" s="5" t="s">
        <v>14</v>
      </c>
      <c r="I137" s="8">
        <v>1767</v>
      </c>
      <c r="J137" s="5">
        <v>0</v>
      </c>
      <c r="K137" s="8">
        <v>1767</v>
      </c>
      <c r="L137" s="7">
        <f t="shared" si="8"/>
        <v>-25</v>
      </c>
      <c r="M137" s="16">
        <f t="shared" si="9"/>
        <v>-44175</v>
      </c>
      <c r="N137" s="1" t="s">
        <v>15</v>
      </c>
      <c r="O137" s="2">
        <f t="shared" si="10"/>
        <v>41</v>
      </c>
    </row>
    <row r="138" spans="1:15" x14ac:dyDescent="0.25">
      <c r="A138" s="15" t="s">
        <v>69</v>
      </c>
      <c r="B138" s="5">
        <v>1821</v>
      </c>
      <c r="C138" s="6">
        <v>43784</v>
      </c>
      <c r="D138" s="5" t="str">
        <f>"0002145203"</f>
        <v>0002145203</v>
      </c>
      <c r="E138" s="6">
        <v>43769</v>
      </c>
      <c r="F138" s="6">
        <v>43785</v>
      </c>
      <c r="G138" s="6">
        <v>43810</v>
      </c>
      <c r="H138" s="5" t="s">
        <v>14</v>
      </c>
      <c r="I138" s="8">
        <v>1021.14</v>
      </c>
      <c r="J138" s="5">
        <v>184.14</v>
      </c>
      <c r="K138" s="5">
        <v>837</v>
      </c>
      <c r="L138" s="7">
        <f t="shared" si="8"/>
        <v>-25</v>
      </c>
      <c r="M138" s="16">
        <f t="shared" si="9"/>
        <v>-20925</v>
      </c>
      <c r="N138" s="1" t="s">
        <v>15</v>
      </c>
      <c r="O138" s="2">
        <f t="shared" si="10"/>
        <v>41</v>
      </c>
    </row>
    <row r="139" spans="1:15" x14ac:dyDescent="0.25">
      <c r="A139" s="15" t="s">
        <v>69</v>
      </c>
      <c r="B139" s="5">
        <v>1602</v>
      </c>
      <c r="C139" s="6">
        <v>43750</v>
      </c>
      <c r="D139" s="5" t="str">
        <f>"0002142416"</f>
        <v>0002142416</v>
      </c>
      <c r="E139" s="6">
        <v>43738</v>
      </c>
      <c r="F139" s="6">
        <v>43750</v>
      </c>
      <c r="G139" s="6">
        <v>43775</v>
      </c>
      <c r="H139" s="5" t="s">
        <v>14</v>
      </c>
      <c r="I139" s="5">
        <v>451.4</v>
      </c>
      <c r="J139" s="5">
        <v>81.400000000000006</v>
      </c>
      <c r="K139" s="5">
        <v>370</v>
      </c>
      <c r="L139" s="7">
        <f t="shared" si="8"/>
        <v>-25</v>
      </c>
      <c r="M139" s="16">
        <f t="shared" si="9"/>
        <v>-9250</v>
      </c>
      <c r="N139" s="1" t="s">
        <v>15</v>
      </c>
      <c r="O139" s="2">
        <f t="shared" si="10"/>
        <v>37</v>
      </c>
    </row>
    <row r="140" spans="1:15" x14ac:dyDescent="0.25">
      <c r="A140" s="15" t="s">
        <v>69</v>
      </c>
      <c r="B140" s="5">
        <v>1618</v>
      </c>
      <c r="C140" s="6">
        <v>43750</v>
      </c>
      <c r="D140" s="5" t="str">
        <f>"0002142084"</f>
        <v>0002142084</v>
      </c>
      <c r="E140" s="6">
        <v>43738</v>
      </c>
      <c r="F140" s="6">
        <v>43750</v>
      </c>
      <c r="G140" s="6">
        <v>43775</v>
      </c>
      <c r="H140" s="5" t="s">
        <v>14</v>
      </c>
      <c r="I140" s="5">
        <v>708.21</v>
      </c>
      <c r="J140" s="5">
        <v>127.71</v>
      </c>
      <c r="K140" s="5">
        <v>580.5</v>
      </c>
      <c r="L140" s="7">
        <f t="shared" si="8"/>
        <v>-25</v>
      </c>
      <c r="M140" s="16">
        <f t="shared" si="9"/>
        <v>-14512.5</v>
      </c>
      <c r="N140" s="1" t="s">
        <v>15</v>
      </c>
      <c r="O140" s="2">
        <f t="shared" si="10"/>
        <v>37</v>
      </c>
    </row>
    <row r="141" spans="1:15" x14ac:dyDescent="0.25">
      <c r="A141" s="15" t="s">
        <v>69</v>
      </c>
      <c r="B141" s="5">
        <v>1601</v>
      </c>
      <c r="C141" s="6">
        <v>43750</v>
      </c>
      <c r="D141" s="5" t="str">
        <f>"0001127367"</f>
        <v>0001127367</v>
      </c>
      <c r="E141" s="6">
        <v>43738</v>
      </c>
      <c r="F141" s="6">
        <v>43750</v>
      </c>
      <c r="G141" s="6">
        <v>43775</v>
      </c>
      <c r="H141" s="5" t="s">
        <v>14</v>
      </c>
      <c r="I141" s="8">
        <v>1225.5</v>
      </c>
      <c r="J141" s="5">
        <v>0</v>
      </c>
      <c r="K141" s="8">
        <v>1225.5</v>
      </c>
      <c r="L141" s="7">
        <f t="shared" si="8"/>
        <v>-25</v>
      </c>
      <c r="M141" s="16">
        <f t="shared" si="9"/>
        <v>-30637.5</v>
      </c>
      <c r="N141" s="1" t="s">
        <v>15</v>
      </c>
      <c r="O141" s="2">
        <f t="shared" si="10"/>
        <v>37</v>
      </c>
    </row>
    <row r="142" spans="1:15" x14ac:dyDescent="0.25">
      <c r="A142" s="15" t="s">
        <v>95</v>
      </c>
      <c r="B142" s="5">
        <v>1603</v>
      </c>
      <c r="C142" s="6">
        <v>43750</v>
      </c>
      <c r="D142" s="5" t="s">
        <v>96</v>
      </c>
      <c r="E142" s="6">
        <v>43738</v>
      </c>
      <c r="F142" s="6">
        <v>43750</v>
      </c>
      <c r="G142" s="6">
        <v>43775</v>
      </c>
      <c r="H142" s="5" t="s">
        <v>14</v>
      </c>
      <c r="I142" s="5">
        <v>335.5</v>
      </c>
      <c r="J142" s="5">
        <v>60.5</v>
      </c>
      <c r="K142" s="5">
        <v>275</v>
      </c>
      <c r="L142" s="7">
        <f t="shared" si="8"/>
        <v>-25</v>
      </c>
      <c r="M142" s="16">
        <f t="shared" si="9"/>
        <v>-6875</v>
      </c>
      <c r="N142" s="1" t="s">
        <v>15</v>
      </c>
      <c r="O142" s="2">
        <f t="shared" si="10"/>
        <v>37</v>
      </c>
    </row>
    <row r="143" spans="1:15" x14ac:dyDescent="0.25">
      <c r="A143" s="15" t="s">
        <v>81</v>
      </c>
      <c r="B143" s="5">
        <v>1812</v>
      </c>
      <c r="C143" s="6">
        <v>43784</v>
      </c>
      <c r="D143" s="5" t="s">
        <v>97</v>
      </c>
      <c r="E143" s="6">
        <v>43769</v>
      </c>
      <c r="F143" s="6">
        <v>43785</v>
      </c>
      <c r="G143" s="6">
        <v>43810</v>
      </c>
      <c r="H143" s="5" t="s">
        <v>14</v>
      </c>
      <c r="I143" s="5">
        <v>566.25</v>
      </c>
      <c r="J143" s="5">
        <v>0</v>
      </c>
      <c r="K143" s="5">
        <v>566.25</v>
      </c>
      <c r="L143" s="7">
        <f t="shared" si="8"/>
        <v>-25</v>
      </c>
      <c r="M143" s="16">
        <f t="shared" si="9"/>
        <v>-14156.25</v>
      </c>
      <c r="N143" s="1" t="s">
        <v>15</v>
      </c>
      <c r="O143" s="2">
        <f t="shared" si="10"/>
        <v>41</v>
      </c>
    </row>
    <row r="144" spans="1:15" x14ac:dyDescent="0.25">
      <c r="A144" s="15" t="s">
        <v>83</v>
      </c>
      <c r="B144" s="5">
        <v>1784</v>
      </c>
      <c r="C144" s="6">
        <v>43778</v>
      </c>
      <c r="D144" s="5" t="str">
        <f>"2019902603"</f>
        <v>2019902603</v>
      </c>
      <c r="E144" s="6">
        <v>43767</v>
      </c>
      <c r="F144" s="6">
        <v>43778</v>
      </c>
      <c r="G144" s="6">
        <v>43803</v>
      </c>
      <c r="H144" s="5" t="s">
        <v>14</v>
      </c>
      <c r="I144" s="5">
        <v>488</v>
      </c>
      <c r="J144" s="5">
        <v>88</v>
      </c>
      <c r="K144" s="5">
        <v>400</v>
      </c>
      <c r="L144" s="7">
        <f t="shared" si="8"/>
        <v>-25</v>
      </c>
      <c r="M144" s="16">
        <f t="shared" si="9"/>
        <v>-10000</v>
      </c>
      <c r="N144" s="1" t="s">
        <v>15</v>
      </c>
      <c r="O144" s="2">
        <f t="shared" si="10"/>
        <v>36</v>
      </c>
    </row>
    <row r="145" spans="1:15" x14ac:dyDescent="0.25">
      <c r="A145" s="15" t="s">
        <v>42</v>
      </c>
      <c r="B145" s="5">
        <v>1765</v>
      </c>
      <c r="C145" s="6">
        <v>43764</v>
      </c>
      <c r="D145" s="5" t="s">
        <v>98</v>
      </c>
      <c r="E145" s="6">
        <v>43759</v>
      </c>
      <c r="F145" s="6">
        <v>43764</v>
      </c>
      <c r="G145" s="6">
        <v>43790</v>
      </c>
      <c r="H145" s="5" t="s">
        <v>14</v>
      </c>
      <c r="I145" s="8">
        <v>2287.5</v>
      </c>
      <c r="J145" s="5">
        <v>412.5</v>
      </c>
      <c r="K145" s="8">
        <v>1875</v>
      </c>
      <c r="L145" s="7">
        <f>+F145-G145</f>
        <v>-26</v>
      </c>
      <c r="M145" s="16">
        <f t="shared" si="9"/>
        <v>-48750</v>
      </c>
      <c r="N145" s="1" t="s">
        <v>15</v>
      </c>
      <c r="O145" s="2">
        <f t="shared" si="10"/>
        <v>31</v>
      </c>
    </row>
    <row r="146" spans="1:15" x14ac:dyDescent="0.25">
      <c r="A146" s="15" t="s">
        <v>68</v>
      </c>
      <c r="B146" s="5">
        <v>1996</v>
      </c>
      <c r="C146" s="6">
        <v>43813</v>
      </c>
      <c r="D146" s="5" t="str">
        <f>"19246"</f>
        <v>19246</v>
      </c>
      <c r="E146" s="6">
        <v>43808</v>
      </c>
      <c r="F146" s="6">
        <v>43813</v>
      </c>
      <c r="G146" s="6">
        <v>43839</v>
      </c>
      <c r="H146" s="5" t="s">
        <v>14</v>
      </c>
      <c r="I146" s="8">
        <v>3132.86</v>
      </c>
      <c r="J146" s="5">
        <v>564.94000000000005</v>
      </c>
      <c r="K146" s="8">
        <v>2567.92</v>
      </c>
      <c r="L146" s="7">
        <f t="shared" si="8"/>
        <v>-26</v>
      </c>
      <c r="M146" s="16">
        <f t="shared" si="9"/>
        <v>-66765.919999999998</v>
      </c>
      <c r="N146" s="1" t="s">
        <v>15</v>
      </c>
      <c r="O146" s="2">
        <f t="shared" si="10"/>
        <v>31</v>
      </c>
    </row>
    <row r="147" spans="1:15" x14ac:dyDescent="0.25">
      <c r="A147" s="15" t="s">
        <v>68</v>
      </c>
      <c r="B147" s="5">
        <v>1610</v>
      </c>
      <c r="C147" s="6">
        <v>43750</v>
      </c>
      <c r="D147" s="5" t="str">
        <f>"19204"</f>
        <v>19204</v>
      </c>
      <c r="E147" s="6">
        <v>43746</v>
      </c>
      <c r="F147" s="6">
        <v>43750</v>
      </c>
      <c r="G147" s="6">
        <v>43776</v>
      </c>
      <c r="H147" s="5" t="s">
        <v>14</v>
      </c>
      <c r="I147" s="8">
        <v>2290.84</v>
      </c>
      <c r="J147" s="5">
        <v>413.1</v>
      </c>
      <c r="K147" s="8">
        <v>1877.74</v>
      </c>
      <c r="L147" s="7">
        <f t="shared" si="8"/>
        <v>-26</v>
      </c>
      <c r="M147" s="16">
        <f t="shared" si="9"/>
        <v>-48821.24</v>
      </c>
      <c r="N147" s="1" t="s">
        <v>15</v>
      </c>
      <c r="O147" s="2">
        <f t="shared" si="10"/>
        <v>30</v>
      </c>
    </row>
    <row r="148" spans="1:15" x14ac:dyDescent="0.25">
      <c r="A148" s="15" t="s">
        <v>68</v>
      </c>
      <c r="B148" s="5">
        <v>1997</v>
      </c>
      <c r="C148" s="6">
        <v>43813</v>
      </c>
      <c r="D148" s="5" t="str">
        <f>"19248"</f>
        <v>19248</v>
      </c>
      <c r="E148" s="6">
        <v>43808</v>
      </c>
      <c r="F148" s="6">
        <v>43813</v>
      </c>
      <c r="G148" s="6">
        <v>43839</v>
      </c>
      <c r="H148" s="5" t="s">
        <v>14</v>
      </c>
      <c r="I148" s="5">
        <v>562.04999999999995</v>
      </c>
      <c r="J148" s="5">
        <v>101.35</v>
      </c>
      <c r="K148" s="5">
        <v>460.7</v>
      </c>
      <c r="L148" s="7">
        <f t="shared" si="8"/>
        <v>-26</v>
      </c>
      <c r="M148" s="16">
        <f t="shared" si="9"/>
        <v>-11978.199999999999</v>
      </c>
      <c r="N148" s="1" t="s">
        <v>15</v>
      </c>
      <c r="O148" s="2">
        <f t="shared" si="10"/>
        <v>31</v>
      </c>
    </row>
    <row r="149" spans="1:15" x14ac:dyDescent="0.25">
      <c r="A149" s="15" t="s">
        <v>55</v>
      </c>
      <c r="B149" s="5">
        <v>1607</v>
      </c>
      <c r="C149" s="6">
        <v>43750</v>
      </c>
      <c r="D149" s="5" t="s">
        <v>99</v>
      </c>
      <c r="E149" s="6">
        <v>43738</v>
      </c>
      <c r="F149" s="6">
        <v>43750</v>
      </c>
      <c r="G149" s="6">
        <v>43776</v>
      </c>
      <c r="H149" s="5" t="s">
        <v>14</v>
      </c>
      <c r="I149" s="8">
        <v>1162.49</v>
      </c>
      <c r="J149" s="5">
        <v>209.63</v>
      </c>
      <c r="K149" s="5">
        <v>952.86</v>
      </c>
      <c r="L149" s="7">
        <f t="shared" si="8"/>
        <v>-26</v>
      </c>
      <c r="M149" s="16">
        <f t="shared" si="9"/>
        <v>-24774.36</v>
      </c>
      <c r="N149" s="1" t="s">
        <v>15</v>
      </c>
      <c r="O149" s="2">
        <f t="shared" si="10"/>
        <v>38</v>
      </c>
    </row>
    <row r="150" spans="1:15" x14ac:dyDescent="0.25">
      <c r="A150" s="15" t="s">
        <v>81</v>
      </c>
      <c r="B150" s="5">
        <v>1786</v>
      </c>
      <c r="C150" s="6">
        <v>43778</v>
      </c>
      <c r="D150" s="5" t="s">
        <v>100</v>
      </c>
      <c r="E150" s="6">
        <v>43769</v>
      </c>
      <c r="F150" s="6">
        <v>43778</v>
      </c>
      <c r="G150" s="6">
        <v>43804</v>
      </c>
      <c r="H150" s="5" t="s">
        <v>14</v>
      </c>
      <c r="I150" s="8">
        <v>1401</v>
      </c>
      <c r="J150" s="5">
        <v>0</v>
      </c>
      <c r="K150" s="8">
        <v>1401</v>
      </c>
      <c r="L150" s="7">
        <f t="shared" si="8"/>
        <v>-26</v>
      </c>
      <c r="M150" s="16">
        <f t="shared" si="9"/>
        <v>-36426</v>
      </c>
      <c r="N150" s="1" t="s">
        <v>15</v>
      </c>
      <c r="O150" s="2">
        <f t="shared" si="10"/>
        <v>35</v>
      </c>
    </row>
    <row r="151" spans="1:15" x14ac:dyDescent="0.25">
      <c r="A151" s="15" t="s">
        <v>83</v>
      </c>
      <c r="B151" s="5">
        <v>2125</v>
      </c>
      <c r="C151" s="6">
        <v>43820</v>
      </c>
      <c r="D151" s="5" t="str">
        <f>"2019903175"</f>
        <v>2019903175</v>
      </c>
      <c r="E151" s="6">
        <v>43815</v>
      </c>
      <c r="F151" s="6">
        <v>43820</v>
      </c>
      <c r="G151" s="6">
        <v>43846</v>
      </c>
      <c r="H151" s="5" t="s">
        <v>14</v>
      </c>
      <c r="I151" s="5">
        <v>488</v>
      </c>
      <c r="J151" s="5">
        <v>88</v>
      </c>
      <c r="K151" s="5">
        <v>400</v>
      </c>
      <c r="L151" s="7">
        <f t="shared" si="8"/>
        <v>-26</v>
      </c>
      <c r="M151" s="16">
        <f t="shared" si="9"/>
        <v>-10400</v>
      </c>
      <c r="N151" s="1" t="s">
        <v>15</v>
      </c>
      <c r="O151" s="2">
        <f t="shared" si="10"/>
        <v>31</v>
      </c>
    </row>
    <row r="152" spans="1:15" x14ac:dyDescent="0.25">
      <c r="A152" s="15" t="s">
        <v>39</v>
      </c>
      <c r="B152" s="5">
        <v>1828</v>
      </c>
      <c r="C152" s="6">
        <v>43791</v>
      </c>
      <c r="D152" s="5" t="s">
        <v>101</v>
      </c>
      <c r="E152" s="6">
        <v>43676</v>
      </c>
      <c r="F152" s="6">
        <v>43792</v>
      </c>
      <c r="G152" s="6">
        <v>43818</v>
      </c>
      <c r="H152" s="5" t="s">
        <v>14</v>
      </c>
      <c r="I152" s="5">
        <v>488</v>
      </c>
      <c r="J152" s="5">
        <v>88</v>
      </c>
      <c r="K152" s="5">
        <v>400</v>
      </c>
      <c r="L152" s="7">
        <f t="shared" si="8"/>
        <v>-26</v>
      </c>
      <c r="M152" s="16">
        <f t="shared" si="9"/>
        <v>-10400</v>
      </c>
      <c r="N152" s="1" t="s">
        <v>15</v>
      </c>
      <c r="O152" s="2">
        <f t="shared" si="10"/>
        <v>142</v>
      </c>
    </row>
    <row r="153" spans="1:15" x14ac:dyDescent="0.25">
      <c r="A153" s="15" t="s">
        <v>68</v>
      </c>
      <c r="B153" s="5">
        <v>1609</v>
      </c>
      <c r="C153" s="6">
        <v>43750</v>
      </c>
      <c r="D153" s="5" t="str">
        <f>"19203"</f>
        <v>19203</v>
      </c>
      <c r="E153" s="6">
        <v>43746</v>
      </c>
      <c r="F153" s="6">
        <v>43750</v>
      </c>
      <c r="G153" s="6">
        <v>43777</v>
      </c>
      <c r="H153" s="5" t="s">
        <v>14</v>
      </c>
      <c r="I153" s="8">
        <v>1189.27</v>
      </c>
      <c r="J153" s="5">
        <v>214.46</v>
      </c>
      <c r="K153" s="5">
        <v>974.81</v>
      </c>
      <c r="L153" s="7">
        <f t="shared" si="8"/>
        <v>-27</v>
      </c>
      <c r="M153" s="16">
        <f t="shared" si="9"/>
        <v>-26319.87</v>
      </c>
      <c r="N153" s="1" t="s">
        <v>15</v>
      </c>
      <c r="O153" s="2">
        <f t="shared" si="10"/>
        <v>31</v>
      </c>
    </row>
    <row r="154" spans="1:15" x14ac:dyDescent="0.25">
      <c r="A154" s="15" t="s">
        <v>83</v>
      </c>
      <c r="B154" s="5">
        <v>1933</v>
      </c>
      <c r="C154" s="6">
        <v>43799</v>
      </c>
      <c r="D154" s="5" t="str">
        <f>"2019902818"</f>
        <v>2019902818</v>
      </c>
      <c r="E154" s="6">
        <v>43795</v>
      </c>
      <c r="F154" s="6">
        <v>43799</v>
      </c>
      <c r="G154" s="6">
        <v>43826</v>
      </c>
      <c r="H154" s="5" t="s">
        <v>14</v>
      </c>
      <c r="I154" s="5">
        <v>488</v>
      </c>
      <c r="J154" s="5">
        <v>88</v>
      </c>
      <c r="K154" s="5">
        <v>400</v>
      </c>
      <c r="L154" s="7">
        <f t="shared" si="8"/>
        <v>-27</v>
      </c>
      <c r="M154" s="16">
        <f t="shared" si="9"/>
        <v>-10800</v>
      </c>
      <c r="N154" s="1" t="s">
        <v>15</v>
      </c>
      <c r="O154" s="2">
        <f t="shared" si="10"/>
        <v>31</v>
      </c>
    </row>
    <row r="155" spans="1:15" x14ac:dyDescent="0.25">
      <c r="A155" s="15" t="s">
        <v>83</v>
      </c>
      <c r="B155" s="5">
        <v>2122</v>
      </c>
      <c r="C155" s="6">
        <v>43820</v>
      </c>
      <c r="D155" s="5" t="str">
        <f>"2019903240"</f>
        <v>2019903240</v>
      </c>
      <c r="E155" s="6">
        <v>43817</v>
      </c>
      <c r="F155" s="6">
        <v>43820</v>
      </c>
      <c r="G155" s="6">
        <v>43847</v>
      </c>
      <c r="H155" s="5" t="s">
        <v>14</v>
      </c>
      <c r="I155" s="5">
        <v>488</v>
      </c>
      <c r="J155" s="5">
        <v>88</v>
      </c>
      <c r="K155" s="5">
        <v>400</v>
      </c>
      <c r="L155" s="7">
        <f t="shared" si="8"/>
        <v>-27</v>
      </c>
      <c r="M155" s="16">
        <f t="shared" si="9"/>
        <v>-10800</v>
      </c>
      <c r="N155" s="1" t="s">
        <v>15</v>
      </c>
      <c r="O155" s="2">
        <f t="shared" si="10"/>
        <v>30</v>
      </c>
    </row>
    <row r="156" spans="1:15" x14ac:dyDescent="0.25">
      <c r="A156" s="15" t="s">
        <v>102</v>
      </c>
      <c r="B156" s="5">
        <v>1983</v>
      </c>
      <c r="C156" s="6">
        <v>43813</v>
      </c>
      <c r="D156" s="5" t="s">
        <v>103</v>
      </c>
      <c r="E156" s="6">
        <v>43799</v>
      </c>
      <c r="F156" s="6">
        <v>43813</v>
      </c>
      <c r="G156" s="6">
        <v>43841</v>
      </c>
      <c r="H156" s="5" t="s">
        <v>14</v>
      </c>
      <c r="I156" s="8">
        <v>3933.26</v>
      </c>
      <c r="J156" s="5">
        <v>709.28</v>
      </c>
      <c r="K156" s="8">
        <v>3223.98</v>
      </c>
      <c r="L156" s="7">
        <f t="shared" si="8"/>
        <v>-28</v>
      </c>
      <c r="M156" s="16">
        <f t="shared" si="9"/>
        <v>-90271.44</v>
      </c>
      <c r="N156" s="1" t="s">
        <v>15</v>
      </c>
      <c r="O156" s="2">
        <f t="shared" si="10"/>
        <v>42</v>
      </c>
    </row>
    <row r="157" spans="1:15" x14ac:dyDescent="0.25">
      <c r="A157" s="15" t="s">
        <v>95</v>
      </c>
      <c r="B157" s="5">
        <v>1966</v>
      </c>
      <c r="C157" s="6">
        <v>43812</v>
      </c>
      <c r="D157" s="5" t="s">
        <v>104</v>
      </c>
      <c r="E157" s="6">
        <v>43524</v>
      </c>
      <c r="F157" s="6">
        <v>43813</v>
      </c>
      <c r="G157" s="6">
        <v>43841</v>
      </c>
      <c r="H157" s="5" t="s">
        <v>14</v>
      </c>
      <c r="I157" s="5">
        <v>59.78</v>
      </c>
      <c r="J157" s="5">
        <v>10.78</v>
      </c>
      <c r="K157" s="5">
        <v>49</v>
      </c>
      <c r="L157" s="7">
        <f t="shared" si="8"/>
        <v>-28</v>
      </c>
      <c r="M157" s="16">
        <f t="shared" si="9"/>
        <v>-1372</v>
      </c>
      <c r="N157" s="1" t="s">
        <v>15</v>
      </c>
      <c r="O157" s="2">
        <f t="shared" si="10"/>
        <v>317</v>
      </c>
    </row>
    <row r="158" spans="1:15" x14ac:dyDescent="0.25">
      <c r="A158" s="15" t="s">
        <v>83</v>
      </c>
      <c r="B158" s="5">
        <v>1636</v>
      </c>
      <c r="C158" s="6">
        <v>43756</v>
      </c>
      <c r="D158" s="5" t="str">
        <f>"2019902466"</f>
        <v>2019902466</v>
      </c>
      <c r="E158" s="6">
        <v>43752</v>
      </c>
      <c r="F158" s="6">
        <v>43756</v>
      </c>
      <c r="G158" s="6">
        <v>43784</v>
      </c>
      <c r="H158" s="5" t="s">
        <v>14</v>
      </c>
      <c r="I158" s="5">
        <v>98.6</v>
      </c>
      <c r="J158" s="5">
        <v>0</v>
      </c>
      <c r="K158" s="5">
        <v>98.6</v>
      </c>
      <c r="L158" s="7">
        <f>+F158-G158</f>
        <v>-28</v>
      </c>
      <c r="M158" s="16">
        <f t="shared" si="9"/>
        <v>-2760.7999999999997</v>
      </c>
      <c r="N158" s="1" t="s">
        <v>15</v>
      </c>
      <c r="O158" s="2">
        <f t="shared" si="10"/>
        <v>32</v>
      </c>
    </row>
    <row r="159" spans="1:15" x14ac:dyDescent="0.25">
      <c r="A159" s="15" t="s">
        <v>83</v>
      </c>
      <c r="B159" s="5">
        <v>1637</v>
      </c>
      <c r="C159" s="6">
        <v>43756</v>
      </c>
      <c r="D159" s="5" t="str">
        <f>"2019902478"</f>
        <v>2019902478</v>
      </c>
      <c r="E159" s="6">
        <v>43752</v>
      </c>
      <c r="F159" s="6">
        <v>43756</v>
      </c>
      <c r="G159" s="6">
        <v>43784</v>
      </c>
      <c r="H159" s="5" t="s">
        <v>14</v>
      </c>
      <c r="I159" s="5">
        <v>488</v>
      </c>
      <c r="J159" s="5">
        <v>88</v>
      </c>
      <c r="K159" s="5">
        <v>400</v>
      </c>
      <c r="L159" s="7">
        <f t="shared" ref="L159:L176" si="11">+F159-G159</f>
        <v>-28</v>
      </c>
      <c r="M159" s="16">
        <f t="shared" si="9"/>
        <v>-11200</v>
      </c>
      <c r="N159" s="1" t="s">
        <v>15</v>
      </c>
      <c r="O159" s="2">
        <f t="shared" si="10"/>
        <v>32</v>
      </c>
    </row>
    <row r="160" spans="1:15" x14ac:dyDescent="0.25">
      <c r="A160" s="15" t="s">
        <v>65</v>
      </c>
      <c r="B160" s="5">
        <v>1800</v>
      </c>
      <c r="C160" s="6">
        <v>43784</v>
      </c>
      <c r="D160" s="5" t="str">
        <f>"6400045497"</f>
        <v>6400045497</v>
      </c>
      <c r="E160" s="6">
        <v>43738</v>
      </c>
      <c r="F160" s="6">
        <v>43785</v>
      </c>
      <c r="G160" s="6">
        <v>43813</v>
      </c>
      <c r="H160" s="5" t="s">
        <v>14</v>
      </c>
      <c r="I160" s="5">
        <v>764.11</v>
      </c>
      <c r="J160" s="5">
        <v>29.39</v>
      </c>
      <c r="K160" s="5">
        <v>734.72</v>
      </c>
      <c r="L160" s="7">
        <f t="shared" si="11"/>
        <v>-28</v>
      </c>
      <c r="M160" s="16">
        <f t="shared" si="9"/>
        <v>-20572.16</v>
      </c>
      <c r="N160" s="1" t="s">
        <v>15</v>
      </c>
      <c r="O160" s="2">
        <f t="shared" si="10"/>
        <v>75</v>
      </c>
    </row>
    <row r="161" spans="1:15" x14ac:dyDescent="0.25">
      <c r="A161" s="15" t="s">
        <v>94</v>
      </c>
      <c r="B161" s="5">
        <v>1806</v>
      </c>
      <c r="C161" s="6">
        <v>43784</v>
      </c>
      <c r="D161" s="5" t="str">
        <f>"116764"</f>
        <v>116764</v>
      </c>
      <c r="E161" s="6">
        <v>43769</v>
      </c>
      <c r="F161" s="6">
        <v>43785</v>
      </c>
      <c r="G161" s="6">
        <v>43814</v>
      </c>
      <c r="H161" s="5" t="s">
        <v>14</v>
      </c>
      <c r="I161" s="5">
        <v>456.96</v>
      </c>
      <c r="J161" s="5">
        <v>82.4</v>
      </c>
      <c r="K161" s="5">
        <v>374.56</v>
      </c>
      <c r="L161" s="7">
        <f t="shared" si="11"/>
        <v>-29</v>
      </c>
      <c r="M161" s="16">
        <f t="shared" si="9"/>
        <v>-10862.24</v>
      </c>
      <c r="N161" s="1" t="s">
        <v>15</v>
      </c>
      <c r="O161" s="2">
        <f t="shared" si="10"/>
        <v>45</v>
      </c>
    </row>
    <row r="162" spans="1:15" x14ac:dyDescent="0.25">
      <c r="A162" s="15" t="s">
        <v>94</v>
      </c>
      <c r="B162" s="5">
        <v>1810</v>
      </c>
      <c r="C162" s="6">
        <v>43784</v>
      </c>
      <c r="D162" s="5" t="str">
        <f>"116765"</f>
        <v>116765</v>
      </c>
      <c r="E162" s="6">
        <v>43769</v>
      </c>
      <c r="F162" s="6">
        <v>43785</v>
      </c>
      <c r="G162" s="6">
        <v>43814</v>
      </c>
      <c r="H162" s="5" t="s">
        <v>14</v>
      </c>
      <c r="I162" s="5">
        <v>76.680000000000007</v>
      </c>
      <c r="J162" s="5">
        <v>13.83</v>
      </c>
      <c r="K162" s="5">
        <v>62.85</v>
      </c>
      <c r="L162" s="7">
        <f t="shared" si="11"/>
        <v>-29</v>
      </c>
      <c r="M162" s="16">
        <f t="shared" si="9"/>
        <v>-1822.65</v>
      </c>
      <c r="N162" s="1" t="s">
        <v>15</v>
      </c>
      <c r="O162" s="2">
        <f t="shared" si="10"/>
        <v>45</v>
      </c>
    </row>
    <row r="163" spans="1:15" x14ac:dyDescent="0.25">
      <c r="A163" s="15" t="s">
        <v>94</v>
      </c>
      <c r="B163" s="5">
        <v>1806</v>
      </c>
      <c r="C163" s="6">
        <v>43784</v>
      </c>
      <c r="D163" s="5" t="str">
        <f>"116761"</f>
        <v>116761</v>
      </c>
      <c r="E163" s="6">
        <v>43769</v>
      </c>
      <c r="F163" s="6">
        <v>43785</v>
      </c>
      <c r="G163" s="6">
        <v>43814</v>
      </c>
      <c r="H163" s="5" t="s">
        <v>14</v>
      </c>
      <c r="I163" s="5">
        <v>95.73</v>
      </c>
      <c r="J163" s="5">
        <v>17.260000000000002</v>
      </c>
      <c r="K163" s="5">
        <v>78.47</v>
      </c>
      <c r="L163" s="7">
        <f t="shared" si="11"/>
        <v>-29</v>
      </c>
      <c r="M163" s="16">
        <f t="shared" si="9"/>
        <v>-2275.63</v>
      </c>
      <c r="N163" s="1" t="s">
        <v>15</v>
      </c>
      <c r="O163" s="2">
        <f t="shared" si="10"/>
        <v>45</v>
      </c>
    </row>
    <row r="164" spans="1:15" x14ac:dyDescent="0.25">
      <c r="A164" s="15" t="s">
        <v>94</v>
      </c>
      <c r="B164" s="5">
        <v>1809</v>
      </c>
      <c r="C164" s="6">
        <v>43784</v>
      </c>
      <c r="D164" s="5" t="str">
        <f>"116763"</f>
        <v>116763</v>
      </c>
      <c r="E164" s="6">
        <v>43769</v>
      </c>
      <c r="F164" s="6">
        <v>43785</v>
      </c>
      <c r="G164" s="6">
        <v>43814</v>
      </c>
      <c r="H164" s="5" t="s">
        <v>14</v>
      </c>
      <c r="I164" s="5">
        <v>241.07</v>
      </c>
      <c r="J164" s="5">
        <v>43.47</v>
      </c>
      <c r="K164" s="5">
        <v>197.6</v>
      </c>
      <c r="L164" s="7">
        <f t="shared" si="11"/>
        <v>-29</v>
      </c>
      <c r="M164" s="16">
        <f t="shared" si="9"/>
        <v>-5730.4</v>
      </c>
      <c r="N164" s="1" t="s">
        <v>15</v>
      </c>
      <c r="O164" s="2">
        <f t="shared" si="10"/>
        <v>45</v>
      </c>
    </row>
    <row r="165" spans="1:15" x14ac:dyDescent="0.25">
      <c r="A165" s="15" t="s">
        <v>94</v>
      </c>
      <c r="B165" s="5">
        <v>1808</v>
      </c>
      <c r="C165" s="6">
        <v>43784</v>
      </c>
      <c r="D165" s="5" t="str">
        <f>"116766"</f>
        <v>116766</v>
      </c>
      <c r="E165" s="6">
        <v>43769</v>
      </c>
      <c r="F165" s="6">
        <v>43785</v>
      </c>
      <c r="G165" s="6">
        <v>43814</v>
      </c>
      <c r="H165" s="5" t="s">
        <v>14</v>
      </c>
      <c r="I165" s="5">
        <v>78.25</v>
      </c>
      <c r="J165" s="5">
        <v>14.11</v>
      </c>
      <c r="K165" s="5">
        <v>64.14</v>
      </c>
      <c r="L165" s="7">
        <f t="shared" si="11"/>
        <v>-29</v>
      </c>
      <c r="M165" s="16">
        <f t="shared" si="9"/>
        <v>-1860.06</v>
      </c>
      <c r="N165" s="1" t="s">
        <v>15</v>
      </c>
      <c r="O165" s="2">
        <f t="shared" si="10"/>
        <v>45</v>
      </c>
    </row>
    <row r="166" spans="1:15" x14ac:dyDescent="0.25">
      <c r="A166" s="15" t="s">
        <v>94</v>
      </c>
      <c r="B166" s="5">
        <v>1807</v>
      </c>
      <c r="C166" s="6">
        <v>43784</v>
      </c>
      <c r="D166" s="5" t="str">
        <f>"116760"</f>
        <v>116760</v>
      </c>
      <c r="E166" s="6">
        <v>43769</v>
      </c>
      <c r="F166" s="6">
        <v>43785</v>
      </c>
      <c r="G166" s="6">
        <v>43814</v>
      </c>
      <c r="H166" s="5" t="s">
        <v>14</v>
      </c>
      <c r="I166" s="5">
        <v>82.58</v>
      </c>
      <c r="J166" s="5">
        <v>14.89</v>
      </c>
      <c r="K166" s="5">
        <v>67.69</v>
      </c>
      <c r="L166" s="7">
        <f t="shared" si="11"/>
        <v>-29</v>
      </c>
      <c r="M166" s="16">
        <f t="shared" si="9"/>
        <v>-1963.01</v>
      </c>
      <c r="N166" s="1" t="s">
        <v>15</v>
      </c>
      <c r="O166" s="2">
        <f t="shared" si="10"/>
        <v>45</v>
      </c>
    </row>
    <row r="167" spans="1:15" x14ac:dyDescent="0.25">
      <c r="A167" s="15" t="s">
        <v>94</v>
      </c>
      <c r="B167" s="5">
        <v>1811</v>
      </c>
      <c r="C167" s="6">
        <v>43784</v>
      </c>
      <c r="D167" s="5" t="str">
        <f>"116762"</f>
        <v>116762</v>
      </c>
      <c r="E167" s="6">
        <v>43769</v>
      </c>
      <c r="F167" s="6">
        <v>43785</v>
      </c>
      <c r="G167" s="6">
        <v>43814</v>
      </c>
      <c r="H167" s="5" t="s">
        <v>14</v>
      </c>
      <c r="I167" s="5">
        <v>78.849999999999994</v>
      </c>
      <c r="J167" s="5">
        <v>14.22</v>
      </c>
      <c r="K167" s="5">
        <v>64.63</v>
      </c>
      <c r="L167" s="7">
        <f t="shared" si="11"/>
        <v>-29</v>
      </c>
      <c r="M167" s="16">
        <f t="shared" si="9"/>
        <v>-1874.27</v>
      </c>
      <c r="N167" s="1" t="s">
        <v>15</v>
      </c>
      <c r="O167" s="2">
        <f t="shared" si="10"/>
        <v>45</v>
      </c>
    </row>
    <row r="168" spans="1:15" x14ac:dyDescent="0.25">
      <c r="A168" s="15" t="s">
        <v>105</v>
      </c>
      <c r="B168" s="5">
        <v>1990</v>
      </c>
      <c r="C168" s="6">
        <v>43813</v>
      </c>
      <c r="D168" s="5" t="s">
        <v>106</v>
      </c>
      <c r="E168" s="6">
        <v>43812</v>
      </c>
      <c r="F168" s="6">
        <v>43813</v>
      </c>
      <c r="G168" s="6">
        <v>43843</v>
      </c>
      <c r="H168" s="5" t="s">
        <v>14</v>
      </c>
      <c r="I168" s="8">
        <v>3965.13</v>
      </c>
      <c r="J168" s="5">
        <v>715.02</v>
      </c>
      <c r="K168" s="8">
        <v>3250.11</v>
      </c>
      <c r="L168" s="7">
        <f t="shared" si="11"/>
        <v>-30</v>
      </c>
      <c r="M168" s="16">
        <f t="shared" si="9"/>
        <v>-97503.3</v>
      </c>
      <c r="N168" s="1" t="s">
        <v>15</v>
      </c>
      <c r="O168" s="2">
        <f t="shared" si="10"/>
        <v>31</v>
      </c>
    </row>
    <row r="169" spans="1:15" x14ac:dyDescent="0.25">
      <c r="A169" s="15" t="s">
        <v>81</v>
      </c>
      <c r="B169" s="5">
        <v>1633</v>
      </c>
      <c r="C169" s="6">
        <v>43756</v>
      </c>
      <c r="D169" s="5" t="s">
        <v>107</v>
      </c>
      <c r="E169" s="6">
        <v>43738</v>
      </c>
      <c r="F169" s="6">
        <v>43756</v>
      </c>
      <c r="G169" s="6">
        <v>43787</v>
      </c>
      <c r="H169" s="5" t="s">
        <v>14</v>
      </c>
      <c r="I169" s="5">
        <v>575.5</v>
      </c>
      <c r="J169" s="5">
        <v>0</v>
      </c>
      <c r="K169" s="5">
        <v>575.5</v>
      </c>
      <c r="L169" s="7">
        <f t="shared" si="11"/>
        <v>-31</v>
      </c>
      <c r="M169" s="16">
        <f t="shared" si="9"/>
        <v>-17840.5</v>
      </c>
      <c r="N169" s="1" t="s">
        <v>15</v>
      </c>
      <c r="O169" s="2">
        <f t="shared" si="10"/>
        <v>49</v>
      </c>
    </row>
    <row r="170" spans="1:15" x14ac:dyDescent="0.25">
      <c r="A170" s="15" t="s">
        <v>81</v>
      </c>
      <c r="B170" s="5">
        <v>1947</v>
      </c>
      <c r="C170" s="6">
        <v>43806</v>
      </c>
      <c r="D170" s="5" t="s">
        <v>108</v>
      </c>
      <c r="E170" s="6">
        <v>43799</v>
      </c>
      <c r="F170" s="6">
        <v>43806</v>
      </c>
      <c r="G170" s="6">
        <v>43837</v>
      </c>
      <c r="H170" s="5" t="s">
        <v>14</v>
      </c>
      <c r="I170" s="8">
        <v>1355</v>
      </c>
      <c r="J170" s="5">
        <v>0</v>
      </c>
      <c r="K170" s="8">
        <v>1355</v>
      </c>
      <c r="L170" s="7">
        <f t="shared" si="11"/>
        <v>-31</v>
      </c>
      <c r="M170" s="16">
        <f t="shared" si="9"/>
        <v>-42005</v>
      </c>
      <c r="N170" s="1" t="s">
        <v>15</v>
      </c>
      <c r="O170" s="2">
        <f t="shared" si="10"/>
        <v>38</v>
      </c>
    </row>
    <row r="171" spans="1:15" x14ac:dyDescent="0.25">
      <c r="A171" s="15" t="s">
        <v>109</v>
      </c>
      <c r="B171" s="5">
        <v>1932</v>
      </c>
      <c r="C171" s="6">
        <v>43799</v>
      </c>
      <c r="D171" s="5" t="s">
        <v>110</v>
      </c>
      <c r="E171" s="6">
        <v>43796</v>
      </c>
      <c r="F171" s="6">
        <v>43799</v>
      </c>
      <c r="G171" s="6">
        <v>43830</v>
      </c>
      <c r="H171" s="5" t="s">
        <v>14</v>
      </c>
      <c r="I171" s="8">
        <v>2440</v>
      </c>
      <c r="J171" s="5">
        <v>440</v>
      </c>
      <c r="K171" s="8">
        <v>2000</v>
      </c>
      <c r="L171" s="7">
        <f t="shared" si="11"/>
        <v>-31</v>
      </c>
      <c r="M171" s="16">
        <f t="shared" si="9"/>
        <v>-62000</v>
      </c>
      <c r="N171" s="1" t="s">
        <v>15</v>
      </c>
      <c r="O171" s="2">
        <f t="shared" si="10"/>
        <v>34</v>
      </c>
    </row>
    <row r="172" spans="1:15" x14ac:dyDescent="0.25">
      <c r="A172" s="15" t="s">
        <v>111</v>
      </c>
      <c r="B172" s="5">
        <v>1801</v>
      </c>
      <c r="C172" s="6">
        <v>43784</v>
      </c>
      <c r="D172" s="5" t="str">
        <f>"2879"</f>
        <v>2879</v>
      </c>
      <c r="E172" s="6">
        <v>43756</v>
      </c>
      <c r="F172" s="6">
        <v>43785</v>
      </c>
      <c r="G172" s="6">
        <v>43819</v>
      </c>
      <c r="H172" s="5" t="s">
        <v>14</v>
      </c>
      <c r="I172" s="8">
        <v>1925.18</v>
      </c>
      <c r="J172" s="5">
        <v>347.16</v>
      </c>
      <c r="K172" s="8">
        <v>1578.02</v>
      </c>
      <c r="L172" s="7">
        <f t="shared" si="11"/>
        <v>-34</v>
      </c>
      <c r="M172" s="16">
        <f t="shared" si="9"/>
        <v>-53652.68</v>
      </c>
      <c r="N172" s="1" t="s">
        <v>15</v>
      </c>
      <c r="O172" s="2">
        <f t="shared" si="10"/>
        <v>63</v>
      </c>
    </row>
    <row r="173" spans="1:15" x14ac:dyDescent="0.25">
      <c r="A173" s="15" t="s">
        <v>111</v>
      </c>
      <c r="B173" s="5">
        <v>1802</v>
      </c>
      <c r="C173" s="6">
        <v>43784</v>
      </c>
      <c r="D173" s="5" t="str">
        <f>"2879"</f>
        <v>2879</v>
      </c>
      <c r="E173" s="6">
        <v>43756</v>
      </c>
      <c r="F173" s="6">
        <v>43785</v>
      </c>
      <c r="G173" s="6">
        <v>43819</v>
      </c>
      <c r="H173" s="5" t="s">
        <v>14</v>
      </c>
      <c r="I173" s="8">
        <v>1039.8699999999999</v>
      </c>
      <c r="J173" s="5">
        <v>187.52</v>
      </c>
      <c r="K173" s="5">
        <v>852.35</v>
      </c>
      <c r="L173" s="7">
        <f t="shared" si="11"/>
        <v>-34</v>
      </c>
      <c r="M173" s="16">
        <f t="shared" si="9"/>
        <v>-28979.9</v>
      </c>
      <c r="N173" s="1" t="s">
        <v>15</v>
      </c>
      <c r="O173" s="2">
        <f t="shared" si="10"/>
        <v>63</v>
      </c>
    </row>
    <row r="174" spans="1:15" ht="25.5" x14ac:dyDescent="0.25">
      <c r="A174" s="15" t="s">
        <v>112</v>
      </c>
      <c r="B174" s="5">
        <v>1766</v>
      </c>
      <c r="C174" s="6">
        <v>43764</v>
      </c>
      <c r="D174" s="5" t="s">
        <v>113</v>
      </c>
      <c r="E174" s="6">
        <v>43738</v>
      </c>
      <c r="F174" s="6">
        <v>43764</v>
      </c>
      <c r="G174" s="6">
        <v>43799</v>
      </c>
      <c r="H174" s="5" t="s">
        <v>14</v>
      </c>
      <c r="I174" s="8">
        <v>5004.49</v>
      </c>
      <c r="J174" s="5">
        <v>454.95</v>
      </c>
      <c r="K174" s="8">
        <v>4549.54</v>
      </c>
      <c r="L174" s="7">
        <f t="shared" si="11"/>
        <v>-35</v>
      </c>
      <c r="M174" s="16">
        <f t="shared" si="9"/>
        <v>-159233.9</v>
      </c>
      <c r="N174" s="1" t="s">
        <v>15</v>
      </c>
      <c r="O174" s="2">
        <f t="shared" si="10"/>
        <v>61</v>
      </c>
    </row>
    <row r="175" spans="1:15" x14ac:dyDescent="0.25">
      <c r="A175" s="15" t="s">
        <v>77</v>
      </c>
      <c r="B175" s="5">
        <v>1826</v>
      </c>
      <c r="C175" s="6">
        <v>43791</v>
      </c>
      <c r="D175" s="5" t="s">
        <v>114</v>
      </c>
      <c r="E175" s="6">
        <v>43767</v>
      </c>
      <c r="F175" s="6">
        <v>43792</v>
      </c>
      <c r="G175" s="6">
        <v>43828</v>
      </c>
      <c r="H175" s="5" t="s">
        <v>14</v>
      </c>
      <c r="I175" s="8">
        <v>65890</v>
      </c>
      <c r="J175" s="8">
        <v>5990</v>
      </c>
      <c r="K175" s="8">
        <v>59900</v>
      </c>
      <c r="L175" s="7">
        <f t="shared" si="11"/>
        <v>-36</v>
      </c>
      <c r="M175" s="16">
        <f t="shared" si="9"/>
        <v>-2156400</v>
      </c>
      <c r="N175" s="1" t="s">
        <v>15</v>
      </c>
      <c r="O175" s="2">
        <f t="shared" si="10"/>
        <v>61</v>
      </c>
    </row>
    <row r="176" spans="1:15" x14ac:dyDescent="0.25">
      <c r="A176" s="15" t="s">
        <v>65</v>
      </c>
      <c r="B176" s="5">
        <v>1777</v>
      </c>
      <c r="C176" s="6">
        <v>43773</v>
      </c>
      <c r="D176" s="5" t="str">
        <f>"6400045496"</f>
        <v>6400045496</v>
      </c>
      <c r="E176" s="6">
        <v>43738</v>
      </c>
      <c r="F176" s="6">
        <v>43773</v>
      </c>
      <c r="G176" s="6">
        <v>43813</v>
      </c>
      <c r="H176" s="5" t="s">
        <v>14</v>
      </c>
      <c r="I176" s="8">
        <v>9561.59</v>
      </c>
      <c r="J176" s="5">
        <v>367.75</v>
      </c>
      <c r="K176" s="8">
        <v>9193.84</v>
      </c>
      <c r="L176" s="7">
        <f t="shared" si="11"/>
        <v>-40</v>
      </c>
      <c r="M176" s="16">
        <f t="shared" si="9"/>
        <v>-367753.6</v>
      </c>
      <c r="N176" s="1" t="s">
        <v>15</v>
      </c>
      <c r="O176" s="2">
        <f t="shared" si="10"/>
        <v>75</v>
      </c>
    </row>
    <row r="177" spans="1:15" x14ac:dyDescent="0.25">
      <c r="A177" s="15" t="s">
        <v>115</v>
      </c>
      <c r="B177" s="5">
        <v>2126</v>
      </c>
      <c r="C177" s="6">
        <v>43820</v>
      </c>
      <c r="D177" s="5" t="s">
        <v>116</v>
      </c>
      <c r="E177" s="6">
        <v>43810</v>
      </c>
      <c r="F177" s="6">
        <v>43820</v>
      </c>
      <c r="G177" s="6">
        <v>43861</v>
      </c>
      <c r="H177" s="5" t="s">
        <v>14</v>
      </c>
      <c r="I177" s="5">
        <v>652</v>
      </c>
      <c r="J177" s="5">
        <v>0</v>
      </c>
      <c r="K177" s="5">
        <v>652</v>
      </c>
      <c r="L177" s="7">
        <f>+F177-G177</f>
        <v>-41</v>
      </c>
      <c r="M177" s="16">
        <f t="shared" si="9"/>
        <v>-26732</v>
      </c>
      <c r="N177" s="1" t="s">
        <v>15</v>
      </c>
      <c r="O177" s="2">
        <f t="shared" si="10"/>
        <v>51</v>
      </c>
    </row>
    <row r="178" spans="1:15" ht="25.5" x14ac:dyDescent="0.25">
      <c r="A178" s="15" t="s">
        <v>112</v>
      </c>
      <c r="B178" s="5">
        <v>2124</v>
      </c>
      <c r="C178" s="6">
        <v>43820</v>
      </c>
      <c r="D178" s="5" t="s">
        <v>117</v>
      </c>
      <c r="E178" s="6">
        <v>43799</v>
      </c>
      <c r="F178" s="6">
        <v>43820</v>
      </c>
      <c r="G178" s="6">
        <v>43861</v>
      </c>
      <c r="H178" s="5" t="s">
        <v>14</v>
      </c>
      <c r="I178" s="8">
        <v>5004.49</v>
      </c>
      <c r="J178" s="5">
        <v>454.95</v>
      </c>
      <c r="K178" s="8">
        <v>4549.54</v>
      </c>
      <c r="L178" s="7">
        <f t="shared" ref="L178:L200" si="12">+F178-G178</f>
        <v>-41</v>
      </c>
      <c r="M178" s="16">
        <f t="shared" si="9"/>
        <v>-186531.13999999998</v>
      </c>
      <c r="N178" s="1" t="s">
        <v>15</v>
      </c>
      <c r="O178" s="2">
        <f t="shared" si="10"/>
        <v>62</v>
      </c>
    </row>
    <row r="179" spans="1:15" x14ac:dyDescent="0.25">
      <c r="A179" s="15" t="s">
        <v>118</v>
      </c>
      <c r="B179" s="5">
        <v>2113</v>
      </c>
      <c r="C179" s="6">
        <v>43820</v>
      </c>
      <c r="D179" s="5" t="s">
        <v>119</v>
      </c>
      <c r="E179" s="6">
        <v>43818</v>
      </c>
      <c r="F179" s="6">
        <v>43820</v>
      </c>
      <c r="G179" s="6">
        <v>43861</v>
      </c>
      <c r="H179" s="5" t="s">
        <v>14</v>
      </c>
      <c r="I179" s="5">
        <v>888.16</v>
      </c>
      <c r="J179" s="5">
        <v>160.16</v>
      </c>
      <c r="K179" s="5">
        <v>728</v>
      </c>
      <c r="L179" s="7">
        <f t="shared" si="12"/>
        <v>-41</v>
      </c>
      <c r="M179" s="16">
        <f t="shared" si="9"/>
        <v>-29848</v>
      </c>
      <c r="N179" s="1" t="s">
        <v>15</v>
      </c>
      <c r="O179" s="2">
        <f t="shared" si="10"/>
        <v>43</v>
      </c>
    </row>
    <row r="180" spans="1:15" x14ac:dyDescent="0.25">
      <c r="A180" s="15" t="s">
        <v>120</v>
      </c>
      <c r="B180" s="5">
        <v>2129</v>
      </c>
      <c r="C180" s="6">
        <v>43820</v>
      </c>
      <c r="D180" s="5" t="str">
        <f>"72"</f>
        <v>72</v>
      </c>
      <c r="E180" s="6">
        <v>43809</v>
      </c>
      <c r="F180" s="6">
        <v>43820</v>
      </c>
      <c r="G180" s="6">
        <v>43861</v>
      </c>
      <c r="H180" s="5" t="s">
        <v>14</v>
      </c>
      <c r="I180" s="5">
        <v>644.62</v>
      </c>
      <c r="J180" s="5">
        <v>116.24</v>
      </c>
      <c r="K180" s="5">
        <v>528.38</v>
      </c>
      <c r="L180" s="7">
        <f t="shared" si="12"/>
        <v>-41</v>
      </c>
      <c r="M180" s="16">
        <f t="shared" si="9"/>
        <v>-21663.579999999998</v>
      </c>
      <c r="N180" s="1" t="s">
        <v>15</v>
      </c>
      <c r="O180" s="2">
        <f t="shared" si="10"/>
        <v>52</v>
      </c>
    </row>
    <row r="181" spans="1:15" ht="25.5" x14ac:dyDescent="0.25">
      <c r="A181" s="15" t="s">
        <v>121</v>
      </c>
      <c r="B181" s="5">
        <v>1638</v>
      </c>
      <c r="C181" s="6">
        <v>43756</v>
      </c>
      <c r="D181" s="23" t="s">
        <v>162</v>
      </c>
      <c r="E181" s="6">
        <v>43752</v>
      </c>
      <c r="F181" s="6">
        <v>43756</v>
      </c>
      <c r="G181" s="6">
        <v>43799</v>
      </c>
      <c r="H181" s="5" t="s">
        <v>14</v>
      </c>
      <c r="I181" s="8">
        <v>2946</v>
      </c>
      <c r="J181" s="5">
        <v>0</v>
      </c>
      <c r="K181" s="8">
        <v>2946</v>
      </c>
      <c r="L181" s="7">
        <f t="shared" si="12"/>
        <v>-43</v>
      </c>
      <c r="M181" s="16">
        <f t="shared" si="9"/>
        <v>-126678</v>
      </c>
      <c r="N181" s="1" t="s">
        <v>15</v>
      </c>
      <c r="O181" s="2">
        <f t="shared" si="10"/>
        <v>47</v>
      </c>
    </row>
    <row r="182" spans="1:15" ht="25.5" x14ac:dyDescent="0.25">
      <c r="A182" s="15" t="s">
        <v>122</v>
      </c>
      <c r="B182" s="5">
        <v>1635</v>
      </c>
      <c r="C182" s="6">
        <v>43756</v>
      </c>
      <c r="D182" s="5" t="str">
        <f>"227"</f>
        <v>227</v>
      </c>
      <c r="E182" s="6">
        <v>43747</v>
      </c>
      <c r="F182" s="6">
        <v>43756</v>
      </c>
      <c r="G182" s="6">
        <v>43799</v>
      </c>
      <c r="H182" s="5" t="s">
        <v>14</v>
      </c>
      <c r="I182" s="5">
        <v>933.49</v>
      </c>
      <c r="J182" s="5">
        <v>162.29</v>
      </c>
      <c r="K182" s="5">
        <v>771.2</v>
      </c>
      <c r="L182" s="7">
        <f t="shared" si="12"/>
        <v>-43</v>
      </c>
      <c r="M182" s="16">
        <f t="shared" si="9"/>
        <v>-33161.599999999999</v>
      </c>
      <c r="N182" s="1" t="s">
        <v>15</v>
      </c>
      <c r="O182" s="2">
        <f t="shared" si="10"/>
        <v>52</v>
      </c>
    </row>
    <row r="183" spans="1:15" x14ac:dyDescent="0.25">
      <c r="A183" s="15" t="s">
        <v>77</v>
      </c>
      <c r="B183" s="5">
        <v>1767</v>
      </c>
      <c r="C183" s="6">
        <v>43771</v>
      </c>
      <c r="D183" s="5" t="s">
        <v>123</v>
      </c>
      <c r="E183" s="6">
        <v>43754</v>
      </c>
      <c r="F183" s="6">
        <v>43771</v>
      </c>
      <c r="G183" s="6">
        <v>43815</v>
      </c>
      <c r="H183" s="5" t="s">
        <v>14</v>
      </c>
      <c r="I183" s="8">
        <v>1647</v>
      </c>
      <c r="J183" s="5">
        <v>297</v>
      </c>
      <c r="K183" s="8">
        <v>1350</v>
      </c>
      <c r="L183" s="7">
        <f t="shared" si="12"/>
        <v>-44</v>
      </c>
      <c r="M183" s="16">
        <f t="shared" si="9"/>
        <v>-59400</v>
      </c>
      <c r="N183" s="1" t="s">
        <v>15</v>
      </c>
      <c r="O183" s="2">
        <f t="shared" si="10"/>
        <v>61</v>
      </c>
    </row>
    <row r="184" spans="1:15" x14ac:dyDescent="0.25">
      <c r="A184" s="15" t="s">
        <v>68</v>
      </c>
      <c r="B184" s="5">
        <v>1844</v>
      </c>
      <c r="C184" s="6">
        <v>43792</v>
      </c>
      <c r="D184" s="5" t="str">
        <f>"19227"</f>
        <v>19227</v>
      </c>
      <c r="E184" s="6">
        <v>43777</v>
      </c>
      <c r="F184" s="6">
        <v>43792</v>
      </c>
      <c r="G184" s="6">
        <v>43837</v>
      </c>
      <c r="H184" s="5" t="s">
        <v>14</v>
      </c>
      <c r="I184" s="5">
        <v>142.5</v>
      </c>
      <c r="J184" s="5">
        <v>25.7</v>
      </c>
      <c r="K184" s="5">
        <v>116.8</v>
      </c>
      <c r="L184" s="7">
        <f t="shared" si="12"/>
        <v>-45</v>
      </c>
      <c r="M184" s="16">
        <f t="shared" si="9"/>
        <v>-5256</v>
      </c>
      <c r="N184" s="1" t="s">
        <v>15</v>
      </c>
      <c r="O184" s="2">
        <f t="shared" si="10"/>
        <v>60</v>
      </c>
    </row>
    <row r="185" spans="1:15" x14ac:dyDescent="0.25">
      <c r="A185" s="15" t="s">
        <v>68</v>
      </c>
      <c r="B185" s="5">
        <v>1845</v>
      </c>
      <c r="C185" s="6">
        <v>43792</v>
      </c>
      <c r="D185" s="5" t="str">
        <f>"19226"</f>
        <v>19226</v>
      </c>
      <c r="E185" s="6">
        <v>43777</v>
      </c>
      <c r="F185" s="6">
        <v>43792</v>
      </c>
      <c r="G185" s="6">
        <v>43837</v>
      </c>
      <c r="H185" s="5" t="s">
        <v>14</v>
      </c>
      <c r="I185" s="8">
        <v>2627.61</v>
      </c>
      <c r="J185" s="5">
        <v>473.83</v>
      </c>
      <c r="K185" s="8">
        <v>2153.7800000000002</v>
      </c>
      <c r="L185" s="7">
        <f t="shared" si="12"/>
        <v>-45</v>
      </c>
      <c r="M185" s="16">
        <f t="shared" si="9"/>
        <v>-96920.1</v>
      </c>
      <c r="N185" s="1" t="s">
        <v>15</v>
      </c>
      <c r="O185" s="2">
        <f t="shared" si="10"/>
        <v>60</v>
      </c>
    </row>
    <row r="186" spans="1:15" x14ac:dyDescent="0.25">
      <c r="A186" s="15" t="s">
        <v>115</v>
      </c>
      <c r="B186" s="5">
        <v>1815</v>
      </c>
      <c r="C186" s="6">
        <v>43784</v>
      </c>
      <c r="D186" s="5" t="s">
        <v>124</v>
      </c>
      <c r="E186" s="6">
        <v>43773</v>
      </c>
      <c r="F186" s="6">
        <v>43785</v>
      </c>
      <c r="G186" s="6">
        <v>43830</v>
      </c>
      <c r="H186" s="5" t="s">
        <v>14</v>
      </c>
      <c r="I186" s="5">
        <v>483.62</v>
      </c>
      <c r="J186" s="5">
        <v>10.42</v>
      </c>
      <c r="K186" s="5">
        <v>473.2</v>
      </c>
      <c r="L186" s="7">
        <f t="shared" si="12"/>
        <v>-45</v>
      </c>
      <c r="M186" s="16">
        <f t="shared" si="9"/>
        <v>-21294</v>
      </c>
      <c r="N186" s="1" t="s">
        <v>15</v>
      </c>
      <c r="O186" s="2">
        <f t="shared" si="10"/>
        <v>57</v>
      </c>
    </row>
    <row r="187" spans="1:15" x14ac:dyDescent="0.25">
      <c r="A187" s="15" t="s">
        <v>115</v>
      </c>
      <c r="B187" s="5">
        <v>1815</v>
      </c>
      <c r="C187" s="6">
        <v>43784</v>
      </c>
      <c r="D187" s="5" t="s">
        <v>125</v>
      </c>
      <c r="E187" s="6">
        <v>43773</v>
      </c>
      <c r="F187" s="6">
        <v>43785</v>
      </c>
      <c r="G187" s="6">
        <v>43830</v>
      </c>
      <c r="H187" s="5" t="s">
        <v>14</v>
      </c>
      <c r="I187" s="5">
        <v>766.36</v>
      </c>
      <c r="J187" s="5">
        <v>16.54</v>
      </c>
      <c r="K187" s="5">
        <v>749.82</v>
      </c>
      <c r="L187" s="7">
        <f t="shared" si="12"/>
        <v>-45</v>
      </c>
      <c r="M187" s="16">
        <f t="shared" si="9"/>
        <v>-33741.9</v>
      </c>
      <c r="N187" s="1" t="s">
        <v>15</v>
      </c>
      <c r="O187" s="2">
        <f t="shared" si="10"/>
        <v>57</v>
      </c>
    </row>
    <row r="188" spans="1:15" x14ac:dyDescent="0.25">
      <c r="A188" s="15" t="s">
        <v>115</v>
      </c>
      <c r="B188" s="5">
        <v>1815</v>
      </c>
      <c r="C188" s="6">
        <v>43784</v>
      </c>
      <c r="D188" s="5" t="s">
        <v>126</v>
      </c>
      <c r="E188" s="6">
        <v>43773</v>
      </c>
      <c r="F188" s="6">
        <v>43785</v>
      </c>
      <c r="G188" s="6">
        <v>43830</v>
      </c>
      <c r="H188" s="5" t="s">
        <v>14</v>
      </c>
      <c r="I188" s="5">
        <v>347.48</v>
      </c>
      <c r="J188" s="5">
        <v>7.48</v>
      </c>
      <c r="K188" s="5">
        <v>340</v>
      </c>
      <c r="L188" s="7">
        <f t="shared" si="12"/>
        <v>-45</v>
      </c>
      <c r="M188" s="16">
        <f t="shared" si="9"/>
        <v>-15300</v>
      </c>
      <c r="N188" s="1" t="s">
        <v>15</v>
      </c>
      <c r="O188" s="2">
        <f t="shared" si="10"/>
        <v>57</v>
      </c>
    </row>
    <row r="189" spans="1:15" ht="25.5" x14ac:dyDescent="0.25">
      <c r="A189" s="15" t="s">
        <v>112</v>
      </c>
      <c r="B189" s="5">
        <v>1805</v>
      </c>
      <c r="C189" s="6">
        <v>43784</v>
      </c>
      <c r="D189" s="5" t="s">
        <v>127</v>
      </c>
      <c r="E189" s="6">
        <v>43769</v>
      </c>
      <c r="F189" s="6">
        <v>43785</v>
      </c>
      <c r="G189" s="6">
        <v>43830</v>
      </c>
      <c r="H189" s="5" t="s">
        <v>14</v>
      </c>
      <c r="I189" s="8">
        <v>5004.49</v>
      </c>
      <c r="J189" s="5">
        <v>454.95</v>
      </c>
      <c r="K189" s="8">
        <v>4549.54</v>
      </c>
      <c r="L189" s="7">
        <f t="shared" si="12"/>
        <v>-45</v>
      </c>
      <c r="M189" s="16">
        <f t="shared" si="9"/>
        <v>-204729.3</v>
      </c>
      <c r="N189" s="1" t="s">
        <v>15</v>
      </c>
      <c r="O189" s="2">
        <f t="shared" si="10"/>
        <v>61</v>
      </c>
    </row>
    <row r="190" spans="1:15" ht="25.5" x14ac:dyDescent="0.25">
      <c r="A190" s="15" t="s">
        <v>63</v>
      </c>
      <c r="B190" s="5">
        <v>1799</v>
      </c>
      <c r="C190" s="6">
        <v>43784</v>
      </c>
      <c r="D190" s="5" t="s">
        <v>128</v>
      </c>
      <c r="E190" s="6">
        <v>43769</v>
      </c>
      <c r="F190" s="6">
        <v>43785</v>
      </c>
      <c r="G190" s="6">
        <v>43830</v>
      </c>
      <c r="H190" s="5" t="s">
        <v>14</v>
      </c>
      <c r="I190" s="8">
        <v>9989.2800000000007</v>
      </c>
      <c r="J190" s="5">
        <v>475.68</v>
      </c>
      <c r="K190" s="8">
        <v>9513.6</v>
      </c>
      <c r="L190" s="7">
        <f t="shared" si="12"/>
        <v>-45</v>
      </c>
      <c r="M190" s="16">
        <f t="shared" si="9"/>
        <v>-428112</v>
      </c>
      <c r="N190" s="1" t="s">
        <v>15</v>
      </c>
      <c r="O190" s="2">
        <f t="shared" si="10"/>
        <v>61</v>
      </c>
    </row>
    <row r="191" spans="1:15" x14ac:dyDescent="0.25">
      <c r="A191" s="15" t="s">
        <v>129</v>
      </c>
      <c r="B191" s="5">
        <v>1977</v>
      </c>
      <c r="C191" s="6">
        <v>43813</v>
      </c>
      <c r="D191" s="5" t="s">
        <v>130</v>
      </c>
      <c r="E191" s="6">
        <v>43794</v>
      </c>
      <c r="F191" s="6">
        <v>43813</v>
      </c>
      <c r="G191" s="6">
        <v>43859</v>
      </c>
      <c r="H191" s="5" t="s">
        <v>14</v>
      </c>
      <c r="I191" s="8">
        <v>1066.28</v>
      </c>
      <c r="J191" s="5">
        <v>192.28</v>
      </c>
      <c r="K191" s="5">
        <v>874</v>
      </c>
      <c r="L191" s="7">
        <f t="shared" si="12"/>
        <v>-46</v>
      </c>
      <c r="M191" s="16">
        <f t="shared" si="9"/>
        <v>-40204</v>
      </c>
      <c r="N191" s="1" t="s">
        <v>15</v>
      </c>
      <c r="O191" s="2">
        <f t="shared" si="10"/>
        <v>65</v>
      </c>
    </row>
    <row r="192" spans="1:15" x14ac:dyDescent="0.25">
      <c r="A192" s="15" t="s">
        <v>69</v>
      </c>
      <c r="B192" s="5">
        <v>1982</v>
      </c>
      <c r="C192" s="6">
        <v>43813</v>
      </c>
      <c r="D192" s="5" t="str">
        <f>"0002151886"</f>
        <v>0002151886</v>
      </c>
      <c r="E192" s="6">
        <v>43799</v>
      </c>
      <c r="F192" s="6">
        <v>43813</v>
      </c>
      <c r="G192" s="6">
        <v>43860</v>
      </c>
      <c r="H192" s="5" t="s">
        <v>14</v>
      </c>
      <c r="I192" s="5">
        <v>550.22</v>
      </c>
      <c r="J192" s="5">
        <v>99.22</v>
      </c>
      <c r="K192" s="5">
        <v>451</v>
      </c>
      <c r="L192" s="7">
        <f t="shared" si="12"/>
        <v>-47</v>
      </c>
      <c r="M192" s="16">
        <f t="shared" si="9"/>
        <v>-21197</v>
      </c>
      <c r="N192" s="1" t="s">
        <v>15</v>
      </c>
      <c r="O192" s="2">
        <f t="shared" si="10"/>
        <v>61</v>
      </c>
    </row>
    <row r="193" spans="1:15" x14ac:dyDescent="0.25">
      <c r="A193" s="15" t="s">
        <v>53</v>
      </c>
      <c r="B193" s="5">
        <v>1979</v>
      </c>
      <c r="C193" s="6">
        <v>43813</v>
      </c>
      <c r="D193" s="5" t="s">
        <v>131</v>
      </c>
      <c r="E193" s="6">
        <v>43799</v>
      </c>
      <c r="F193" s="6">
        <v>43813</v>
      </c>
      <c r="G193" s="6">
        <v>43861</v>
      </c>
      <c r="H193" s="5" t="s">
        <v>14</v>
      </c>
      <c r="I193" s="8">
        <v>1392.02</v>
      </c>
      <c r="J193" s="5">
        <v>251.02</v>
      </c>
      <c r="K193" s="8">
        <v>1141</v>
      </c>
      <c r="L193" s="7">
        <f t="shared" si="12"/>
        <v>-48</v>
      </c>
      <c r="M193" s="16">
        <f t="shared" si="9"/>
        <v>-54768</v>
      </c>
      <c r="N193" s="1" t="s">
        <v>15</v>
      </c>
      <c r="O193" s="2">
        <f t="shared" si="10"/>
        <v>62</v>
      </c>
    </row>
    <row r="194" spans="1:15" x14ac:dyDescent="0.25">
      <c r="A194" s="15" t="s">
        <v>53</v>
      </c>
      <c r="B194" s="5">
        <v>1980</v>
      </c>
      <c r="C194" s="6">
        <v>43813</v>
      </c>
      <c r="D194" s="5" t="s">
        <v>132</v>
      </c>
      <c r="E194" s="6">
        <v>43799</v>
      </c>
      <c r="F194" s="6">
        <v>43813</v>
      </c>
      <c r="G194" s="6">
        <v>43861</v>
      </c>
      <c r="H194" s="5" t="s">
        <v>14</v>
      </c>
      <c r="I194" s="8">
        <v>1392.02</v>
      </c>
      <c r="J194" s="5">
        <v>251.02</v>
      </c>
      <c r="K194" s="8">
        <v>1141</v>
      </c>
      <c r="L194" s="7">
        <f t="shared" si="12"/>
        <v>-48</v>
      </c>
      <c r="M194" s="16">
        <f t="shared" si="9"/>
        <v>-54768</v>
      </c>
      <c r="N194" s="1" t="s">
        <v>15</v>
      </c>
      <c r="O194" s="2">
        <f t="shared" si="10"/>
        <v>62</v>
      </c>
    </row>
    <row r="195" spans="1:15" x14ac:dyDescent="0.25">
      <c r="A195" s="15" t="s">
        <v>36</v>
      </c>
      <c r="B195" s="5">
        <v>1999</v>
      </c>
      <c r="C195" s="6">
        <v>43813</v>
      </c>
      <c r="D195" s="5" t="s">
        <v>133</v>
      </c>
      <c r="E195" s="6">
        <v>43811</v>
      </c>
      <c r="F195" s="6">
        <v>43813</v>
      </c>
      <c r="G195" s="6">
        <v>43861</v>
      </c>
      <c r="H195" s="5" t="s">
        <v>14</v>
      </c>
      <c r="I195" s="8">
        <v>6331.82</v>
      </c>
      <c r="J195" s="8">
        <v>1141.8</v>
      </c>
      <c r="K195" s="8">
        <v>5190.0200000000004</v>
      </c>
      <c r="L195" s="7">
        <f t="shared" si="12"/>
        <v>-48</v>
      </c>
      <c r="M195" s="16">
        <f t="shared" ref="M195:M221" si="13">+L195*K195</f>
        <v>-249120.96000000002</v>
      </c>
      <c r="N195" s="1" t="s">
        <v>15</v>
      </c>
      <c r="O195" s="2">
        <f t="shared" si="10"/>
        <v>50</v>
      </c>
    </row>
    <row r="196" spans="1:15" x14ac:dyDescent="0.25">
      <c r="A196" s="15" t="s">
        <v>134</v>
      </c>
      <c r="B196" s="5">
        <v>1978</v>
      </c>
      <c r="C196" s="6">
        <v>43813</v>
      </c>
      <c r="D196" s="5" t="str">
        <f>"1248"</f>
        <v>1248</v>
      </c>
      <c r="E196" s="6">
        <v>43797</v>
      </c>
      <c r="F196" s="6">
        <v>43813</v>
      </c>
      <c r="G196" s="6">
        <v>43861</v>
      </c>
      <c r="H196" s="5" t="s">
        <v>14</v>
      </c>
      <c r="I196" s="5">
        <v>158.6</v>
      </c>
      <c r="J196" s="5">
        <v>28.6</v>
      </c>
      <c r="K196" s="5">
        <v>130</v>
      </c>
      <c r="L196" s="7">
        <f t="shared" si="12"/>
        <v>-48</v>
      </c>
      <c r="M196" s="16">
        <f t="shared" si="13"/>
        <v>-6240</v>
      </c>
      <c r="N196" s="1" t="s">
        <v>15</v>
      </c>
      <c r="O196" s="2">
        <f t="shared" ref="O196:O221" si="14">+G196-E196</f>
        <v>64</v>
      </c>
    </row>
    <row r="197" spans="1:15" x14ac:dyDescent="0.25">
      <c r="A197" s="15" t="s">
        <v>62</v>
      </c>
      <c r="B197" s="5">
        <v>1995</v>
      </c>
      <c r="C197" s="6">
        <v>43813</v>
      </c>
      <c r="D197" s="5" t="str">
        <f>"148"</f>
        <v>148</v>
      </c>
      <c r="E197" s="6">
        <v>43804</v>
      </c>
      <c r="F197" s="6">
        <v>43813</v>
      </c>
      <c r="G197" s="6">
        <v>43861</v>
      </c>
      <c r="H197" s="5" t="s">
        <v>14</v>
      </c>
      <c r="I197" s="5">
        <v>463.36</v>
      </c>
      <c r="J197" s="5">
        <v>83.56</v>
      </c>
      <c r="K197" s="5">
        <v>379.8</v>
      </c>
      <c r="L197" s="7">
        <f>+F197-G197</f>
        <v>-48</v>
      </c>
      <c r="M197" s="16">
        <f t="shared" si="13"/>
        <v>-18230.400000000001</v>
      </c>
      <c r="N197" s="1" t="s">
        <v>15</v>
      </c>
      <c r="O197" s="2">
        <f t="shared" si="14"/>
        <v>57</v>
      </c>
    </row>
    <row r="198" spans="1:15" ht="25.5" x14ac:dyDescent="0.25">
      <c r="A198" s="15" t="s">
        <v>135</v>
      </c>
      <c r="B198" s="5">
        <v>1993</v>
      </c>
      <c r="C198" s="6">
        <v>43813</v>
      </c>
      <c r="D198" s="5" t="s">
        <v>136</v>
      </c>
      <c r="E198" s="6">
        <v>43803</v>
      </c>
      <c r="F198" s="6">
        <v>43813</v>
      </c>
      <c r="G198" s="6">
        <v>43861</v>
      </c>
      <c r="H198" s="5" t="s">
        <v>14</v>
      </c>
      <c r="I198" s="8">
        <v>1140.7</v>
      </c>
      <c r="J198" s="5">
        <v>205.7</v>
      </c>
      <c r="K198" s="5">
        <v>935</v>
      </c>
      <c r="L198" s="7">
        <f t="shared" si="12"/>
        <v>-48</v>
      </c>
      <c r="M198" s="16">
        <f t="shared" si="13"/>
        <v>-44880</v>
      </c>
      <c r="N198" s="1" t="s">
        <v>15</v>
      </c>
      <c r="O198" s="2">
        <f t="shared" si="14"/>
        <v>58</v>
      </c>
    </row>
    <row r="199" spans="1:15" ht="25.5" x14ac:dyDescent="0.25">
      <c r="A199" s="15" t="s">
        <v>137</v>
      </c>
      <c r="B199" s="5">
        <v>1822</v>
      </c>
      <c r="C199" s="6">
        <v>43784</v>
      </c>
      <c r="D199" s="5" t="str">
        <f>"1"</f>
        <v>1</v>
      </c>
      <c r="E199" s="6">
        <v>43773</v>
      </c>
      <c r="F199" s="6">
        <v>43785</v>
      </c>
      <c r="G199" s="6">
        <v>43834</v>
      </c>
      <c r="H199" s="5" t="s">
        <v>14</v>
      </c>
      <c r="I199" s="8">
        <v>2283.84</v>
      </c>
      <c r="J199" s="5">
        <v>0</v>
      </c>
      <c r="K199" s="8">
        <v>2283.84</v>
      </c>
      <c r="L199" s="7">
        <f t="shared" si="12"/>
        <v>-49</v>
      </c>
      <c r="M199" s="16">
        <f t="shared" si="13"/>
        <v>-111908.16</v>
      </c>
      <c r="N199" s="1" t="s">
        <v>15</v>
      </c>
      <c r="O199" s="2">
        <f t="shared" si="14"/>
        <v>61</v>
      </c>
    </row>
    <row r="200" spans="1:15" x14ac:dyDescent="0.25">
      <c r="A200" s="15" t="s">
        <v>138</v>
      </c>
      <c r="B200" s="5">
        <v>1817</v>
      </c>
      <c r="C200" s="6">
        <v>43784</v>
      </c>
      <c r="D200" s="5" t="s">
        <v>139</v>
      </c>
      <c r="E200" s="6">
        <v>43774</v>
      </c>
      <c r="F200" s="6">
        <v>43785</v>
      </c>
      <c r="G200" s="6">
        <v>43835</v>
      </c>
      <c r="H200" s="5" t="s">
        <v>14</v>
      </c>
      <c r="I200" s="5">
        <v>888.16</v>
      </c>
      <c r="J200" s="5">
        <v>0</v>
      </c>
      <c r="K200" s="5">
        <v>888.16</v>
      </c>
      <c r="L200" s="7">
        <f t="shared" si="12"/>
        <v>-50</v>
      </c>
      <c r="M200" s="16">
        <f t="shared" si="13"/>
        <v>-44408</v>
      </c>
      <c r="N200" s="1" t="s">
        <v>15</v>
      </c>
      <c r="O200" s="2">
        <f t="shared" si="14"/>
        <v>61</v>
      </c>
    </row>
    <row r="201" spans="1:15" x14ac:dyDescent="0.25">
      <c r="A201" s="15" t="s">
        <v>76</v>
      </c>
      <c r="B201" s="5">
        <v>1788</v>
      </c>
      <c r="C201" s="6">
        <v>43778</v>
      </c>
      <c r="D201" s="5" t="str">
        <f>"17704"</f>
        <v>17704</v>
      </c>
      <c r="E201" s="6">
        <v>43769</v>
      </c>
      <c r="F201" s="6">
        <v>43785</v>
      </c>
      <c r="G201" s="6">
        <v>43836</v>
      </c>
      <c r="H201" s="5" t="s">
        <v>14</v>
      </c>
      <c r="I201" s="5">
        <v>12.6</v>
      </c>
      <c r="J201" s="5">
        <v>2.27</v>
      </c>
      <c r="K201" s="5">
        <v>10.33</v>
      </c>
      <c r="L201" s="7">
        <f>+F201-G201</f>
        <v>-51</v>
      </c>
      <c r="M201" s="16">
        <f t="shared" si="13"/>
        <v>-526.83000000000004</v>
      </c>
      <c r="N201" s="1" t="s">
        <v>15</v>
      </c>
      <c r="O201" s="2">
        <f t="shared" si="14"/>
        <v>67</v>
      </c>
    </row>
    <row r="202" spans="1:15" ht="25.5" x14ac:dyDescent="0.25">
      <c r="A202" s="15" t="s">
        <v>140</v>
      </c>
      <c r="B202" s="5">
        <v>1783</v>
      </c>
      <c r="C202" s="6">
        <v>43778</v>
      </c>
      <c r="D202" s="5" t="str">
        <f>"0000000001"</f>
        <v>0000000001</v>
      </c>
      <c r="E202" s="6">
        <v>43766</v>
      </c>
      <c r="F202" s="6">
        <v>43778</v>
      </c>
      <c r="G202" s="6">
        <v>43830</v>
      </c>
      <c r="H202" s="5" t="s">
        <v>14</v>
      </c>
      <c r="I202" s="5">
        <v>73.2</v>
      </c>
      <c r="J202" s="5">
        <v>13.2</v>
      </c>
      <c r="K202" s="5">
        <v>60</v>
      </c>
      <c r="L202" s="7">
        <f t="shared" ref="L202:L220" si="15">+F202-G202</f>
        <v>-52</v>
      </c>
      <c r="M202" s="16">
        <f t="shared" si="13"/>
        <v>-3120</v>
      </c>
      <c r="N202" s="1" t="s">
        <v>15</v>
      </c>
      <c r="O202" s="2">
        <f t="shared" si="14"/>
        <v>64</v>
      </c>
    </row>
    <row r="203" spans="1:15" x14ac:dyDescent="0.25">
      <c r="A203" s="15" t="s">
        <v>69</v>
      </c>
      <c r="B203" s="5">
        <v>1781</v>
      </c>
      <c r="C203" s="6">
        <v>43778</v>
      </c>
      <c r="D203" s="5" t="str">
        <f>"0002143543"</f>
        <v>0002143543</v>
      </c>
      <c r="E203" s="6">
        <v>43756</v>
      </c>
      <c r="F203" s="6">
        <v>43778</v>
      </c>
      <c r="G203" s="6">
        <v>43830</v>
      </c>
      <c r="H203" s="5" t="s">
        <v>14</v>
      </c>
      <c r="I203" s="5">
        <v>500.2</v>
      </c>
      <c r="J203" s="5">
        <v>90.2</v>
      </c>
      <c r="K203" s="5">
        <v>410</v>
      </c>
      <c r="L203" s="7">
        <f t="shared" si="15"/>
        <v>-52</v>
      </c>
      <c r="M203" s="16">
        <f t="shared" si="13"/>
        <v>-21320</v>
      </c>
      <c r="N203" s="1" t="s">
        <v>15</v>
      </c>
      <c r="O203" s="2">
        <f t="shared" si="14"/>
        <v>74</v>
      </c>
    </row>
    <row r="204" spans="1:15" x14ac:dyDescent="0.25">
      <c r="A204" s="15" t="s">
        <v>141</v>
      </c>
      <c r="B204" s="5">
        <v>1787</v>
      </c>
      <c r="C204" s="6">
        <v>43778</v>
      </c>
      <c r="D204" s="5" t="str">
        <f>"4040"</f>
        <v>4040</v>
      </c>
      <c r="E204" s="6">
        <v>43769</v>
      </c>
      <c r="F204" s="6">
        <v>43778</v>
      </c>
      <c r="G204" s="6">
        <v>43830</v>
      </c>
      <c r="H204" s="5" t="s">
        <v>14</v>
      </c>
      <c r="I204" s="5">
        <v>353.86</v>
      </c>
      <c r="J204" s="5">
        <v>63.81</v>
      </c>
      <c r="K204" s="5">
        <v>290.05</v>
      </c>
      <c r="L204" s="7">
        <f t="shared" si="15"/>
        <v>-52</v>
      </c>
      <c r="M204" s="16">
        <f t="shared" si="13"/>
        <v>-15082.6</v>
      </c>
      <c r="N204" s="1" t="s">
        <v>15</v>
      </c>
      <c r="O204" s="2">
        <f t="shared" si="14"/>
        <v>61</v>
      </c>
    </row>
    <row r="205" spans="1:15" x14ac:dyDescent="0.25">
      <c r="A205" s="15" t="s">
        <v>68</v>
      </c>
      <c r="B205" s="5">
        <v>1968</v>
      </c>
      <c r="C205" s="6">
        <v>43812</v>
      </c>
      <c r="D205" s="5" t="str">
        <f>"19247"</f>
        <v>19247</v>
      </c>
      <c r="E205" s="6">
        <v>43808</v>
      </c>
      <c r="F205" s="6">
        <v>43813</v>
      </c>
      <c r="G205" s="6">
        <v>43868</v>
      </c>
      <c r="H205" s="5" t="s">
        <v>14</v>
      </c>
      <c r="I205" s="8">
        <v>12613.06</v>
      </c>
      <c r="J205" s="8">
        <v>2274.4899999999998</v>
      </c>
      <c r="K205" s="8">
        <v>10338.57</v>
      </c>
      <c r="L205" s="7">
        <f t="shared" si="15"/>
        <v>-55</v>
      </c>
      <c r="M205" s="16">
        <f t="shared" si="13"/>
        <v>-568621.35</v>
      </c>
      <c r="N205" s="1" t="s">
        <v>15</v>
      </c>
      <c r="O205" s="2">
        <f t="shared" si="14"/>
        <v>60</v>
      </c>
    </row>
    <row r="206" spans="1:15" ht="25.5" x14ac:dyDescent="0.25">
      <c r="A206" s="15" t="s">
        <v>86</v>
      </c>
      <c r="B206" s="5">
        <v>1818</v>
      </c>
      <c r="C206" s="6">
        <v>43784</v>
      </c>
      <c r="D206" s="5" t="s">
        <v>142</v>
      </c>
      <c r="E206" s="6">
        <v>43779</v>
      </c>
      <c r="F206" s="6">
        <v>43785</v>
      </c>
      <c r="G206" s="6">
        <v>43840</v>
      </c>
      <c r="H206" s="5" t="s">
        <v>14</v>
      </c>
      <c r="I206" s="5">
        <v>999</v>
      </c>
      <c r="J206" s="5">
        <v>0</v>
      </c>
      <c r="K206" s="5">
        <v>999</v>
      </c>
      <c r="L206" s="7">
        <f t="shared" si="15"/>
        <v>-55</v>
      </c>
      <c r="M206" s="16">
        <f t="shared" si="13"/>
        <v>-54945</v>
      </c>
      <c r="N206" s="1" t="s">
        <v>15</v>
      </c>
      <c r="O206" s="2">
        <f t="shared" si="14"/>
        <v>61</v>
      </c>
    </row>
    <row r="207" spans="1:15" x14ac:dyDescent="0.25">
      <c r="A207" s="15" t="s">
        <v>118</v>
      </c>
      <c r="B207" s="5">
        <v>1943</v>
      </c>
      <c r="C207" s="6">
        <v>43806</v>
      </c>
      <c r="D207" s="5" t="s">
        <v>143</v>
      </c>
      <c r="E207" s="6">
        <v>43802</v>
      </c>
      <c r="F207" s="6">
        <v>43806</v>
      </c>
      <c r="G207" s="6">
        <v>43861</v>
      </c>
      <c r="H207" s="5" t="s">
        <v>14</v>
      </c>
      <c r="I207" s="8">
        <v>3806.4</v>
      </c>
      <c r="J207" s="5">
        <v>686.4</v>
      </c>
      <c r="K207" s="8">
        <v>3120</v>
      </c>
      <c r="L207" s="7">
        <f t="shared" si="15"/>
        <v>-55</v>
      </c>
      <c r="M207" s="16">
        <f t="shared" si="13"/>
        <v>-171600</v>
      </c>
      <c r="N207" s="1" t="s">
        <v>15</v>
      </c>
      <c r="O207" s="2">
        <f t="shared" si="14"/>
        <v>59</v>
      </c>
    </row>
    <row r="208" spans="1:15" x14ac:dyDescent="0.25">
      <c r="A208" s="15" t="s">
        <v>118</v>
      </c>
      <c r="B208" s="5">
        <v>1951</v>
      </c>
      <c r="C208" s="6">
        <v>43806</v>
      </c>
      <c r="D208" s="24" t="s">
        <v>163</v>
      </c>
      <c r="E208" s="6">
        <v>43802</v>
      </c>
      <c r="F208" s="6">
        <v>43806</v>
      </c>
      <c r="G208" s="6">
        <v>43861</v>
      </c>
      <c r="H208" s="5" t="s">
        <v>14</v>
      </c>
      <c r="I208" s="5">
        <v>159.12</v>
      </c>
      <c r="J208" s="5">
        <v>0</v>
      </c>
      <c r="K208" s="5">
        <v>159.12</v>
      </c>
      <c r="L208" s="7">
        <f t="shared" si="15"/>
        <v>-55</v>
      </c>
      <c r="M208" s="16">
        <f t="shared" si="13"/>
        <v>-8751.6</v>
      </c>
      <c r="N208" s="1" t="s">
        <v>15</v>
      </c>
      <c r="O208" s="2">
        <f t="shared" si="14"/>
        <v>59</v>
      </c>
    </row>
    <row r="209" spans="1:15" x14ac:dyDescent="0.25">
      <c r="A209" s="15" t="s">
        <v>144</v>
      </c>
      <c r="B209" s="5">
        <v>1589</v>
      </c>
      <c r="C209" s="6">
        <v>43739</v>
      </c>
      <c r="D209" s="5" t="str">
        <f>"149"</f>
        <v>149</v>
      </c>
      <c r="E209" s="6">
        <v>43731</v>
      </c>
      <c r="F209" s="6">
        <v>43739</v>
      </c>
      <c r="G209" s="6">
        <v>43795</v>
      </c>
      <c r="H209" s="5" t="s">
        <v>14</v>
      </c>
      <c r="I209" s="5">
        <v>82</v>
      </c>
      <c r="J209" s="5">
        <v>0</v>
      </c>
      <c r="K209" s="5">
        <v>82</v>
      </c>
      <c r="L209" s="7">
        <f t="shared" si="15"/>
        <v>-56</v>
      </c>
      <c r="M209" s="16">
        <f t="shared" si="13"/>
        <v>-4592</v>
      </c>
      <c r="N209" s="1" t="s">
        <v>15</v>
      </c>
      <c r="O209" s="2">
        <f t="shared" si="14"/>
        <v>64</v>
      </c>
    </row>
    <row r="210" spans="1:15" ht="25.5" x14ac:dyDescent="0.25">
      <c r="A210" s="15" t="s">
        <v>63</v>
      </c>
      <c r="B210" s="5">
        <v>1967</v>
      </c>
      <c r="C210" s="6">
        <v>43812</v>
      </c>
      <c r="D210" s="5" t="s">
        <v>145</v>
      </c>
      <c r="E210" s="6">
        <v>43799</v>
      </c>
      <c r="F210" s="6">
        <v>43813</v>
      </c>
      <c r="G210" s="6">
        <v>43870</v>
      </c>
      <c r="H210" s="5" t="s">
        <v>14</v>
      </c>
      <c r="I210" s="8">
        <v>9989.2800000000007</v>
      </c>
      <c r="J210" s="5">
        <v>475.68</v>
      </c>
      <c r="K210" s="8">
        <v>9513.6</v>
      </c>
      <c r="L210" s="7">
        <f t="shared" si="15"/>
        <v>-57</v>
      </c>
      <c r="M210" s="16">
        <f t="shared" si="13"/>
        <v>-542275.20000000007</v>
      </c>
      <c r="N210" s="1" t="s">
        <v>15</v>
      </c>
      <c r="O210" s="2">
        <f t="shared" si="14"/>
        <v>71</v>
      </c>
    </row>
    <row r="211" spans="1:15" x14ac:dyDescent="0.25">
      <c r="A211" s="15" t="s">
        <v>95</v>
      </c>
      <c r="B211" s="5">
        <v>1985</v>
      </c>
      <c r="C211" s="6">
        <v>43813</v>
      </c>
      <c r="D211" s="5" t="s">
        <v>146</v>
      </c>
      <c r="E211" s="6">
        <v>43799</v>
      </c>
      <c r="F211" s="6">
        <v>43813</v>
      </c>
      <c r="G211" s="6">
        <v>43871</v>
      </c>
      <c r="H211" s="5" t="s">
        <v>14</v>
      </c>
      <c r="I211" s="5">
        <v>341.89</v>
      </c>
      <c r="J211" s="5">
        <v>61.65</v>
      </c>
      <c r="K211" s="5">
        <v>280.24</v>
      </c>
      <c r="L211" s="7">
        <f t="shared" si="15"/>
        <v>-58</v>
      </c>
      <c r="M211" s="16">
        <f t="shared" si="13"/>
        <v>-16253.92</v>
      </c>
      <c r="N211" s="1" t="s">
        <v>15</v>
      </c>
      <c r="O211" s="2">
        <f t="shared" si="14"/>
        <v>72</v>
      </c>
    </row>
    <row r="212" spans="1:15" x14ac:dyDescent="0.25">
      <c r="A212" s="15" t="s">
        <v>76</v>
      </c>
      <c r="B212" s="5">
        <v>1789</v>
      </c>
      <c r="C212" s="6">
        <v>43778</v>
      </c>
      <c r="D212" s="5" t="str">
        <f>"17705"</f>
        <v>17705</v>
      </c>
      <c r="E212" s="6">
        <v>43769</v>
      </c>
      <c r="F212" s="6">
        <v>43778</v>
      </c>
      <c r="G212" s="6">
        <v>43836</v>
      </c>
      <c r="H212" s="5" t="s">
        <v>14</v>
      </c>
      <c r="I212" s="5">
        <v>324.02999999999997</v>
      </c>
      <c r="J212" s="5">
        <v>0</v>
      </c>
      <c r="K212" s="5">
        <v>324.02999999999997</v>
      </c>
      <c r="L212" s="7">
        <f t="shared" si="15"/>
        <v>-58</v>
      </c>
      <c r="M212" s="16">
        <f t="shared" si="13"/>
        <v>-18793.739999999998</v>
      </c>
      <c r="N212" s="1" t="s">
        <v>15</v>
      </c>
      <c r="O212" s="2">
        <f t="shared" si="14"/>
        <v>67</v>
      </c>
    </row>
    <row r="213" spans="1:15" x14ac:dyDescent="0.25">
      <c r="A213" s="15" t="s">
        <v>147</v>
      </c>
      <c r="B213" s="5">
        <v>2123</v>
      </c>
      <c r="C213" s="6">
        <v>43820</v>
      </c>
      <c r="D213" s="5" t="s">
        <v>148</v>
      </c>
      <c r="E213" s="6">
        <v>43816</v>
      </c>
      <c r="F213" s="6">
        <v>43820</v>
      </c>
      <c r="G213" s="6">
        <v>43878</v>
      </c>
      <c r="H213" s="5" t="s">
        <v>14</v>
      </c>
      <c r="I213" s="5">
        <v>870</v>
      </c>
      <c r="J213" s="5">
        <v>0</v>
      </c>
      <c r="K213" s="5">
        <v>870</v>
      </c>
      <c r="L213" s="7">
        <f t="shared" si="15"/>
        <v>-58</v>
      </c>
      <c r="M213" s="16">
        <f t="shared" si="13"/>
        <v>-50460</v>
      </c>
      <c r="N213" s="1" t="s">
        <v>15</v>
      </c>
      <c r="O213" s="2">
        <f t="shared" si="14"/>
        <v>62</v>
      </c>
    </row>
    <row r="214" spans="1:15" x14ac:dyDescent="0.25">
      <c r="A214" s="15" t="s">
        <v>65</v>
      </c>
      <c r="B214" s="5">
        <v>1800</v>
      </c>
      <c r="C214" s="6">
        <v>43784</v>
      </c>
      <c r="D214" s="5" t="str">
        <f>"6400049261"</f>
        <v>6400049261</v>
      </c>
      <c r="E214" s="6">
        <v>43769</v>
      </c>
      <c r="F214" s="6">
        <v>43785</v>
      </c>
      <c r="G214" s="6">
        <v>43844</v>
      </c>
      <c r="H214" s="5" t="s">
        <v>14</v>
      </c>
      <c r="I214" s="8">
        <v>1019.95</v>
      </c>
      <c r="J214" s="5">
        <v>39.229999999999997</v>
      </c>
      <c r="K214" s="5">
        <v>980.72</v>
      </c>
      <c r="L214" s="7">
        <f t="shared" si="15"/>
        <v>-59</v>
      </c>
      <c r="M214" s="16">
        <f t="shared" si="13"/>
        <v>-57862.48</v>
      </c>
      <c r="N214" s="1" t="s">
        <v>15</v>
      </c>
      <c r="O214" s="2">
        <f t="shared" si="14"/>
        <v>75</v>
      </c>
    </row>
    <row r="215" spans="1:15" ht="25.5" x14ac:dyDescent="0.25">
      <c r="A215" s="15" t="s">
        <v>112</v>
      </c>
      <c r="B215" s="5">
        <v>1590</v>
      </c>
      <c r="C215" s="6">
        <v>43739</v>
      </c>
      <c r="D215" s="5" t="s">
        <v>149</v>
      </c>
      <c r="E215" s="6">
        <v>43728</v>
      </c>
      <c r="F215" s="6">
        <v>43739</v>
      </c>
      <c r="G215" s="6">
        <v>43799</v>
      </c>
      <c r="H215" s="5" t="s">
        <v>14</v>
      </c>
      <c r="I215" s="8">
        <v>4619.49</v>
      </c>
      <c r="J215" s="5">
        <v>419.95</v>
      </c>
      <c r="K215" s="8">
        <v>4199.54</v>
      </c>
      <c r="L215" s="7">
        <f t="shared" si="15"/>
        <v>-60</v>
      </c>
      <c r="M215" s="16">
        <f t="shared" si="13"/>
        <v>-251972.4</v>
      </c>
      <c r="N215" s="1" t="s">
        <v>15</v>
      </c>
      <c r="O215" s="2">
        <f t="shared" si="14"/>
        <v>71</v>
      </c>
    </row>
    <row r="216" spans="1:15" ht="25.5" x14ac:dyDescent="0.25">
      <c r="A216" s="15" t="s">
        <v>112</v>
      </c>
      <c r="B216" s="5">
        <v>1590</v>
      </c>
      <c r="C216" s="6">
        <v>43739</v>
      </c>
      <c r="D216" s="5" t="s">
        <v>150</v>
      </c>
      <c r="E216" s="6">
        <v>43728</v>
      </c>
      <c r="F216" s="6">
        <v>43739</v>
      </c>
      <c r="G216" s="6">
        <v>43799</v>
      </c>
      <c r="H216" s="5" t="s">
        <v>14</v>
      </c>
      <c r="I216" s="8">
        <v>4619.49</v>
      </c>
      <c r="J216" s="5">
        <v>419.95</v>
      </c>
      <c r="K216" s="8">
        <v>4199.54</v>
      </c>
      <c r="L216" s="7">
        <f t="shared" si="15"/>
        <v>-60</v>
      </c>
      <c r="M216" s="16">
        <f t="shared" si="13"/>
        <v>-251972.4</v>
      </c>
      <c r="N216" s="1" t="s">
        <v>15</v>
      </c>
      <c r="O216" s="2">
        <f t="shared" si="14"/>
        <v>71</v>
      </c>
    </row>
    <row r="217" spans="1:15" x14ac:dyDescent="0.25">
      <c r="A217" s="15" t="s">
        <v>65</v>
      </c>
      <c r="B217" s="5">
        <v>1984</v>
      </c>
      <c r="C217" s="6">
        <v>43813</v>
      </c>
      <c r="D217" s="5" t="str">
        <f>"6400055371"</f>
        <v>6400055371</v>
      </c>
      <c r="E217" s="6">
        <v>43799</v>
      </c>
      <c r="F217" s="6">
        <v>43813</v>
      </c>
      <c r="G217" s="6">
        <v>43874</v>
      </c>
      <c r="H217" s="5" t="s">
        <v>14</v>
      </c>
      <c r="I217" s="5">
        <v>971.73</v>
      </c>
      <c r="J217" s="5">
        <v>37.369999999999997</v>
      </c>
      <c r="K217" s="5">
        <v>934.36</v>
      </c>
      <c r="L217" s="7">
        <f t="shared" si="15"/>
        <v>-61</v>
      </c>
      <c r="M217" s="16">
        <f t="shared" si="13"/>
        <v>-56995.96</v>
      </c>
      <c r="N217" s="1" t="s">
        <v>15</v>
      </c>
      <c r="O217" s="2">
        <f t="shared" si="14"/>
        <v>75</v>
      </c>
    </row>
    <row r="218" spans="1:15" x14ac:dyDescent="0.25">
      <c r="A218" s="15" t="s">
        <v>65</v>
      </c>
      <c r="B218" s="5">
        <v>1969</v>
      </c>
      <c r="C218" s="6">
        <v>43812</v>
      </c>
      <c r="D218" s="5" t="str">
        <f>"6400055370"</f>
        <v>6400055370</v>
      </c>
      <c r="E218" s="6">
        <v>43799</v>
      </c>
      <c r="F218" s="6">
        <v>43813</v>
      </c>
      <c r="G218" s="6">
        <v>43874</v>
      </c>
      <c r="H218" s="5" t="s">
        <v>14</v>
      </c>
      <c r="I218" s="8">
        <v>16423.68</v>
      </c>
      <c r="J218" s="5">
        <v>631.67999999999995</v>
      </c>
      <c r="K218" s="8">
        <v>15792</v>
      </c>
      <c r="L218" s="7">
        <f t="shared" si="15"/>
        <v>-61</v>
      </c>
      <c r="M218" s="16">
        <f t="shared" si="13"/>
        <v>-963312</v>
      </c>
      <c r="N218" s="1" t="s">
        <v>15</v>
      </c>
      <c r="O218" s="2">
        <f t="shared" si="14"/>
        <v>75</v>
      </c>
    </row>
    <row r="219" spans="1:15" x14ac:dyDescent="0.25">
      <c r="A219" s="15" t="s">
        <v>151</v>
      </c>
      <c r="B219" s="5">
        <v>2115</v>
      </c>
      <c r="C219" s="6">
        <v>43820</v>
      </c>
      <c r="D219" s="5" t="s">
        <v>152</v>
      </c>
      <c r="E219" s="6">
        <v>43818</v>
      </c>
      <c r="F219" s="6">
        <v>43820</v>
      </c>
      <c r="G219" s="6">
        <v>43890</v>
      </c>
      <c r="H219" s="5" t="s">
        <v>14</v>
      </c>
      <c r="I219" s="8">
        <v>1084.3</v>
      </c>
      <c r="J219" s="5">
        <v>0</v>
      </c>
      <c r="K219" s="8">
        <v>1084.3</v>
      </c>
      <c r="L219" s="7">
        <f t="shared" si="15"/>
        <v>-70</v>
      </c>
      <c r="M219" s="16">
        <f t="shared" si="13"/>
        <v>-75901</v>
      </c>
      <c r="N219" s="1" t="s">
        <v>15</v>
      </c>
      <c r="O219" s="2">
        <f t="shared" si="14"/>
        <v>72</v>
      </c>
    </row>
    <row r="220" spans="1:15" x14ac:dyDescent="0.25">
      <c r="A220" s="15" t="s">
        <v>153</v>
      </c>
      <c r="B220" s="5">
        <v>1998</v>
      </c>
      <c r="C220" s="6">
        <v>43813</v>
      </c>
      <c r="D220" s="5" t="s">
        <v>154</v>
      </c>
      <c r="E220" s="6">
        <v>43808</v>
      </c>
      <c r="F220" s="6">
        <v>43813</v>
      </c>
      <c r="G220" s="6">
        <v>43890</v>
      </c>
      <c r="H220" s="5" t="s">
        <v>14</v>
      </c>
      <c r="I220" s="5">
        <v>409.55</v>
      </c>
      <c r="J220" s="5">
        <v>73.849999999999994</v>
      </c>
      <c r="K220" s="5">
        <v>335.7</v>
      </c>
      <c r="L220" s="7">
        <f t="shared" si="15"/>
        <v>-77</v>
      </c>
      <c r="M220" s="16">
        <f t="shared" si="13"/>
        <v>-25848.899999999998</v>
      </c>
      <c r="N220" s="1" t="s">
        <v>15</v>
      </c>
      <c r="O220" s="2">
        <f t="shared" si="14"/>
        <v>82</v>
      </c>
    </row>
    <row r="221" spans="1:15" ht="25.5" x14ac:dyDescent="0.25">
      <c r="A221" s="15" t="s">
        <v>135</v>
      </c>
      <c r="B221" s="5">
        <v>1992</v>
      </c>
      <c r="C221" s="6">
        <v>43813</v>
      </c>
      <c r="D221" s="5" t="s">
        <v>155</v>
      </c>
      <c r="E221" s="6">
        <v>43803</v>
      </c>
      <c r="F221" s="6">
        <v>43813</v>
      </c>
      <c r="G221" s="6">
        <v>43890</v>
      </c>
      <c r="H221" s="5" t="s">
        <v>14</v>
      </c>
      <c r="I221" s="5">
        <v>827.16</v>
      </c>
      <c r="J221" s="5">
        <v>149.16</v>
      </c>
      <c r="K221" s="5">
        <v>678</v>
      </c>
      <c r="L221" s="7">
        <f>+F221-G221</f>
        <v>-77</v>
      </c>
      <c r="M221" s="16">
        <f t="shared" si="13"/>
        <v>-52206</v>
      </c>
      <c r="N221" s="1" t="s">
        <v>15</v>
      </c>
      <c r="O221" s="2">
        <f t="shared" si="14"/>
        <v>87</v>
      </c>
    </row>
    <row r="222" spans="1:15" ht="13.5" thickBot="1" x14ac:dyDescent="0.3">
      <c r="A222" s="18" t="s">
        <v>156</v>
      </c>
      <c r="B222" s="19">
        <v>0</v>
      </c>
      <c r="C222" s="19"/>
      <c r="D222" s="19" t="s">
        <v>157</v>
      </c>
      <c r="E222" s="19"/>
      <c r="F222" s="19"/>
      <c r="G222" s="19"/>
      <c r="H222" s="19"/>
      <c r="I222" s="20">
        <v>540239.48</v>
      </c>
      <c r="J222" s="20">
        <v>55253.07</v>
      </c>
      <c r="K222" s="20">
        <f>SUM(K2:K221)</f>
        <v>484986.40999999963</v>
      </c>
      <c r="L222" s="21">
        <f>+M222/K222</f>
        <v>-24.898859887640995</v>
      </c>
      <c r="M222" s="22">
        <f>SUM(M2:M221)</f>
        <v>-12075608.67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L_RIT</vt:lpstr>
      <vt:lpstr>L_RIT!Titoli_stampa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Tomezzoli</dc:creator>
  <cp:lastModifiedBy>Nicola Tomezzoli</cp:lastModifiedBy>
  <dcterms:created xsi:type="dcterms:W3CDTF">2020-01-22T15:37:34Z</dcterms:created>
  <dcterms:modified xsi:type="dcterms:W3CDTF">2020-01-24T08:50:41Z</dcterms:modified>
</cp:coreProperties>
</file>