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90" activeTab="0"/>
  </bookViews>
  <sheets>
    <sheet name="elenco fature iniziale" sheetId="1" r:id="rId1"/>
  </sheets>
  <definedNames>
    <definedName name="_xlnm.Print_Titles" localSheetId="0">'elenco fature iniziale'!$1:$1</definedName>
  </definedNames>
  <calcPr fullCalcOnLoad="1"/>
</workbook>
</file>

<file path=xl/sharedStrings.xml><?xml version="1.0" encoding="utf-8"?>
<sst xmlns="http://schemas.openxmlformats.org/spreadsheetml/2006/main" count="765" uniqueCount="233">
  <si>
    <t>8E01256499</t>
  </si>
  <si>
    <t>A.N.U.T.E.L</t>
  </si>
  <si>
    <t>19B</t>
  </si>
  <si>
    <t>SAV CONSULENZA &amp; MARKETING S.R.L.</t>
  </si>
  <si>
    <t>MUNICIPIA S.P.A.</t>
  </si>
  <si>
    <t>M.T. S.P.A.</t>
  </si>
  <si>
    <t>COOPERATIVA OMEGA</t>
  </si>
  <si>
    <t>0000034/PA</t>
  </si>
  <si>
    <t>2017-V5-73</t>
  </si>
  <si>
    <t>SCAVI MARTINELLI. S.N.C</t>
  </si>
  <si>
    <t>8E00132295</t>
  </si>
  <si>
    <t>AZIENDA U.L.S.S. 09 SCALIGERA</t>
  </si>
  <si>
    <t>214/20</t>
  </si>
  <si>
    <t>CONSORZIO ENERGIA VENETO</t>
  </si>
  <si>
    <t>2017-806-V0</t>
  </si>
  <si>
    <t>3/PA</t>
  </si>
  <si>
    <t>SORIT SOCIETA' SERVIZI E RISCOSSIONI ITALIA SPA</t>
  </si>
  <si>
    <t>GEM SNC DI GROSSI GALEAZZO E C.</t>
  </si>
  <si>
    <t>136/FE</t>
  </si>
  <si>
    <t>61/FE</t>
  </si>
  <si>
    <t>TERMOIDRAULICA di ZONZINI PIETRO</t>
  </si>
  <si>
    <t>FATTPA 2_17</t>
  </si>
  <si>
    <t>V0/30425</t>
  </si>
  <si>
    <t>BORSELLI VITTORIO</t>
  </si>
  <si>
    <t>1PA</t>
  </si>
  <si>
    <t>DIREZ.PROV.PP.TT.-RAGIONER.PROV.MACCHINE AFFRANCATRICE</t>
  </si>
  <si>
    <t>P</t>
  </si>
  <si>
    <t>V0/30423</t>
  </si>
  <si>
    <t>V0/30430</t>
  </si>
  <si>
    <t>V0/30424</t>
  </si>
  <si>
    <t>V0/30426</t>
  </si>
  <si>
    <t>V0/30427</t>
  </si>
  <si>
    <t>V0/30422</t>
  </si>
  <si>
    <t>V0/30431</t>
  </si>
  <si>
    <t>V0/30429</t>
  </si>
  <si>
    <t>IL PONTE SOCIETA' COOPERATIVA SOCIALE O.N.L.U.S.</t>
  </si>
  <si>
    <t>FATTPA 150_16</t>
  </si>
  <si>
    <t>ASSOCIAZIONE PRO LOCO `LE CONTRA'`</t>
  </si>
  <si>
    <t>1FE</t>
  </si>
  <si>
    <t>C.A.M.V.O. S.p.A.</t>
  </si>
  <si>
    <t>GRAFICHE E.GASPARI SRL</t>
  </si>
  <si>
    <t>LIVE SRL</t>
  </si>
  <si>
    <t>70/2017</t>
  </si>
  <si>
    <t>CONSULENZA ENERGETICA</t>
  </si>
  <si>
    <t>ACCADEMIA D'ARTI DISCANTO</t>
  </si>
  <si>
    <t>000004-2017-FEACCAD</t>
  </si>
  <si>
    <t>2017    62/E</t>
  </si>
  <si>
    <t>03/PA</t>
  </si>
  <si>
    <t>285/19</t>
  </si>
  <si>
    <t>2017    24/E</t>
  </si>
  <si>
    <t>44/FE</t>
  </si>
  <si>
    <t>8E00360618</t>
  </si>
  <si>
    <t>8E00360928</t>
  </si>
  <si>
    <t>8E00364813</t>
  </si>
  <si>
    <t>8E00365634</t>
  </si>
  <si>
    <t>8E00367290</t>
  </si>
  <si>
    <t>8E00365910</t>
  </si>
  <si>
    <t>8E00364617</t>
  </si>
  <si>
    <t>8E00366836</t>
  </si>
  <si>
    <t>8E00360169</t>
  </si>
  <si>
    <t>8E00361197</t>
  </si>
  <si>
    <t>8E00359942</t>
  </si>
  <si>
    <t>8E00360449</t>
  </si>
  <si>
    <t>8E00358885</t>
  </si>
  <si>
    <t>284/19</t>
  </si>
  <si>
    <t>2017    92/E</t>
  </si>
  <si>
    <t>I.C.E.A.M. SRL</t>
  </si>
  <si>
    <t>2017    12/E</t>
  </si>
  <si>
    <t>212/19</t>
  </si>
  <si>
    <t>295/FE</t>
  </si>
  <si>
    <t>A.T. SERVICE SRL</t>
  </si>
  <si>
    <t>KYOCERA DOCUMENT SOLUTIONS ITALIA S.P.A.</t>
  </si>
  <si>
    <t>167/2017</t>
  </si>
  <si>
    <t>217/FE</t>
  </si>
  <si>
    <t>06/PA</t>
  </si>
  <si>
    <t>223/2017</t>
  </si>
  <si>
    <t>118/19</t>
  </si>
  <si>
    <t>117/19</t>
  </si>
  <si>
    <t>C.A.M.P.I. ANTINCENDI SRL</t>
  </si>
  <si>
    <t>Y0000029</t>
  </si>
  <si>
    <t>* RISULTATO 2o TRIMESTRE *</t>
  </si>
  <si>
    <t>V0/42867</t>
  </si>
  <si>
    <t>V0/42873</t>
  </si>
  <si>
    <t>V0/42874</t>
  </si>
  <si>
    <t>V0/42866</t>
  </si>
  <si>
    <t>V0/42868</t>
  </si>
  <si>
    <t>V0/42869</t>
  </si>
  <si>
    <t>V0/42871</t>
  </si>
  <si>
    <t>V0/42870</t>
  </si>
  <si>
    <t>V0/42865</t>
  </si>
  <si>
    <t>WOLTERS KLUVER ITALIA SRL LEGGI D'ITALIA</t>
  </si>
  <si>
    <t>ZANIBONI VINCENZO</t>
  </si>
  <si>
    <t>VERDEARANCIO SOCIETA'COOPERATIVA SOCIALE -ONLUS</t>
  </si>
  <si>
    <t>01/PA</t>
  </si>
  <si>
    <t>MAGGIOLI S.P.A.</t>
  </si>
  <si>
    <t>STUDIO GIALLO SRL</t>
  </si>
  <si>
    <t>V0/18332</t>
  </si>
  <si>
    <t>V0/18338</t>
  </si>
  <si>
    <t>V0/18340</t>
  </si>
  <si>
    <t>V0/18336</t>
  </si>
  <si>
    <t>V0/18335</t>
  </si>
  <si>
    <t>V0/18330</t>
  </si>
  <si>
    <t>V0/18339</t>
  </si>
  <si>
    <t>V0/18334</t>
  </si>
  <si>
    <t>V0/18331</t>
  </si>
  <si>
    <t>V0/18337</t>
  </si>
  <si>
    <t>V0/18333</t>
  </si>
  <si>
    <t>GLOBAL POWER SERVICE SPA</t>
  </si>
  <si>
    <t>2017-V5-38</t>
  </si>
  <si>
    <t>2017-V5-37</t>
  </si>
  <si>
    <t>ACQUE VERONESI S.C.A.R.L.</t>
  </si>
  <si>
    <t>SOLUZIONE SRL</t>
  </si>
  <si>
    <t>AGRIVERDE</t>
  </si>
  <si>
    <t>2/PA</t>
  </si>
  <si>
    <t>TELECOM ITALIA S.P.A.</t>
  </si>
  <si>
    <t>8E01248919</t>
  </si>
  <si>
    <t>8E01254127</t>
  </si>
  <si>
    <t>8E01256154</t>
  </si>
  <si>
    <t>8E01250074</t>
  </si>
  <si>
    <t>8E01257203</t>
  </si>
  <si>
    <t>8E01251483</t>
  </si>
  <si>
    <t>8E01250175</t>
  </si>
  <si>
    <t>8E01252459</t>
  </si>
  <si>
    <t>8E01250677</t>
  </si>
  <si>
    <t>8E01256932</t>
  </si>
  <si>
    <t>8E01250392</t>
  </si>
  <si>
    <t>8E01253686</t>
  </si>
  <si>
    <t>FATTPA 185_16</t>
  </si>
  <si>
    <t>V0/42872</t>
  </si>
  <si>
    <t>V0/42864</t>
  </si>
  <si>
    <t>Mand.</t>
  </si>
  <si>
    <t>BOXXAPPS SRL</t>
  </si>
  <si>
    <t>1/170085</t>
  </si>
  <si>
    <t>SPERANZA SOC. COOP. SOC. ONLUS</t>
  </si>
  <si>
    <t>58/19</t>
  </si>
  <si>
    <t>57/19</t>
  </si>
  <si>
    <t>FATTPA 3_17</t>
  </si>
  <si>
    <t>EMERGO SRL</t>
  </si>
  <si>
    <t>E17-00005</t>
  </si>
  <si>
    <t>V0/55172</t>
  </si>
  <si>
    <t>V0/55174</t>
  </si>
  <si>
    <t>V0/55173</t>
  </si>
  <si>
    <t>V0/55169</t>
  </si>
  <si>
    <t>V0/55168</t>
  </si>
  <si>
    <t>V0/55170</t>
  </si>
  <si>
    <t>V0/55175</t>
  </si>
  <si>
    <t>V0/55177</t>
  </si>
  <si>
    <t>V0/55176</t>
  </si>
  <si>
    <t>V0/55171</t>
  </si>
  <si>
    <t>V0/55178</t>
  </si>
  <si>
    <t>SINAC INFORMATICA SAS</t>
  </si>
  <si>
    <t>FPA/016</t>
  </si>
  <si>
    <t>02/PA</t>
  </si>
  <si>
    <t>V1-228-2017</t>
  </si>
  <si>
    <t>V1-411-2017</t>
  </si>
  <si>
    <t>V1-410-2017</t>
  </si>
  <si>
    <t>V1-412-2017</t>
  </si>
  <si>
    <t>2017     2/E</t>
  </si>
  <si>
    <t>8E00139031</t>
  </si>
  <si>
    <t>8E00132195</t>
  </si>
  <si>
    <t>8E00139236</t>
  </si>
  <si>
    <t>8E00132762</t>
  </si>
  <si>
    <t>8E00131358</t>
  </si>
  <si>
    <t>8E00132088</t>
  </si>
  <si>
    <t>8E00134898</t>
  </si>
  <si>
    <t>8E00131827</t>
  </si>
  <si>
    <t>8E00135701</t>
  </si>
  <si>
    <t>8E00135784</t>
  </si>
  <si>
    <t>8E00133410</t>
  </si>
  <si>
    <t>ARENA ASCENSORI S.R.L.</t>
  </si>
  <si>
    <t>000058/16/PA</t>
  </si>
  <si>
    <t>ACLI SERVICE VERONA S.R.L.</t>
  </si>
  <si>
    <t>10 PA</t>
  </si>
  <si>
    <t>OLIVETTI S.P.A.</t>
  </si>
  <si>
    <t>000059/16/PA</t>
  </si>
  <si>
    <t>TERMOIDRAULICA ZONZINI PIETRO SRL</t>
  </si>
  <si>
    <t>FATTPA 1_17</t>
  </si>
  <si>
    <t>V0/67046</t>
  </si>
  <si>
    <t>V0/67041</t>
  </si>
  <si>
    <t>V0/67039</t>
  </si>
  <si>
    <t>V0/67042</t>
  </si>
  <si>
    <t>V0/67047</t>
  </si>
  <si>
    <t>V0/67040</t>
  </si>
  <si>
    <t>V0/67045</t>
  </si>
  <si>
    <t>V0/67043</t>
  </si>
  <si>
    <t>04/PA</t>
  </si>
  <si>
    <t>0000036/PA</t>
  </si>
  <si>
    <t>V1-647-2017</t>
  </si>
  <si>
    <t>V1-649-2017</t>
  </si>
  <si>
    <t>V1-648-2017</t>
  </si>
  <si>
    <t>GARZON ALESSANDRO</t>
  </si>
  <si>
    <t>61/01</t>
  </si>
  <si>
    <t>PUBLIMULTIMEDIA SNC DI VOI FEDERICO &amp; C.</t>
  </si>
  <si>
    <t>4/PA</t>
  </si>
  <si>
    <t>5/PA</t>
  </si>
  <si>
    <t>HALLEY VENETO S.R.L.</t>
  </si>
  <si>
    <t>1/170275</t>
  </si>
  <si>
    <t>2017-V5-98</t>
  </si>
  <si>
    <t>GRAFICHE STELLA s.r.l.</t>
  </si>
  <si>
    <t>S-8</t>
  </si>
  <si>
    <t>ESSEFFE  VEA S.R.L.</t>
  </si>
  <si>
    <t>FC-2017-0003696-0</t>
  </si>
  <si>
    <t>8E00130400</t>
  </si>
  <si>
    <t>SIVE S.R.L.</t>
  </si>
  <si>
    <t>211/19</t>
  </si>
  <si>
    <t>M.D.L. SNC DI ANDREOLI &amp;.MURAROLI</t>
  </si>
  <si>
    <t>FatPAM 10A/2017/PA</t>
  </si>
  <si>
    <t>1/170350</t>
  </si>
  <si>
    <t>2017-V5-115</t>
  </si>
  <si>
    <t>CONSORZIO EUROBUS VERONA SOC. COOP.</t>
  </si>
  <si>
    <t>162/FE</t>
  </si>
  <si>
    <t>ACCATRE S.R.L.</t>
  </si>
  <si>
    <t>1/170234</t>
  </si>
  <si>
    <t>93/FE</t>
  </si>
  <si>
    <t>Beneficiario</t>
  </si>
  <si>
    <t>Data mandato</t>
  </si>
  <si>
    <t>Num. fattura</t>
  </si>
  <si>
    <t>Data fattura</t>
  </si>
  <si>
    <t>Nr.bolletta 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</si>
  <si>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</si>
  <si>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</si>
  <si>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</si>
  <si>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</si>
  <si>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</si>
  <si>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</si>
  <si>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</si>
  <si>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</si>
  <si>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DOLOMITI ENERGIA SPA</t>
  </si>
  <si>
    <t>S</t>
  </si>
  <si>
    <t>LINK INFORMATICA DI PACE WALTER</t>
  </si>
  <si>
    <t>1/PA</t>
  </si>
  <si>
    <t>GLOBAL POWER SPA</t>
  </si>
  <si>
    <t>V0/30428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</si>
</sst>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6" fontId="0" fillId="0" borderId="1" xfId="0" applyNumberForma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11" fontId="0" fillId="0" borderId="1" xfId="0" applyNumberForma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workbookViewId="0" topLeftCell="A1">
      <pane ySplit="1" topLeftCell="BM2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29.57421875" style="1" customWidth="1"/>
    <col min="2" max="2" width="6.140625" style="1" hidden="1" customWidth="1"/>
    <col min="3" max="3" width="12.57421875" style="1" hidden="1" customWidth="1"/>
    <col min="4" max="4" width="13.7109375" style="1" customWidth="1"/>
    <col min="5" max="5" width="10.57421875" style="1" bestFit="1" customWidth="1"/>
    <col min="6" max="6" width="0" style="1" hidden="1" customWidth="1"/>
    <col min="7" max="7" width="12.57421875" style="1" customWidth="1"/>
    <col min="8" max="8" width="11.140625" style="1" customWidth="1"/>
    <col min="9" max="9" width="5.140625" style="1" bestFit="1" customWidth="1"/>
    <col min="10" max="10" width="10.140625" style="1" bestFit="1" customWidth="1"/>
    <col min="11" max="11" width="9.140625" style="1" customWidth="1"/>
    <col min="12" max="12" width="10.140625" style="1" bestFit="1" customWidth="1"/>
    <col min="13" max="13" width="5.140625" style="1" customWidth="1"/>
    <col min="14" max="14" width="12.28125" style="1" bestFit="1" customWidth="1"/>
    <col min="15" max="15" width="3.140625" style="1" customWidth="1"/>
    <col min="16" max="16384" width="9.140625" style="1" customWidth="1"/>
  </cols>
  <sheetData>
    <row r="1" spans="1:14" s="4" customFormat="1" ht="25.5">
      <c r="A1" s="6" t="s">
        <v>214</v>
      </c>
      <c r="B1" s="7" t="s">
        <v>130</v>
      </c>
      <c r="C1" s="7" t="s">
        <v>215</v>
      </c>
      <c r="D1" s="7" t="s">
        <v>216</v>
      </c>
      <c r="E1" s="7" t="s">
        <v>217</v>
      </c>
      <c r="F1" s="7" t="s">
        <v>218</v>
      </c>
      <c r="G1" s="7" t="s">
        <v>219</v>
      </c>
      <c r="H1" s="7" t="s">
        <v>220</v>
      </c>
      <c r="I1" s="7" t="s">
        <v>221</v>
      </c>
      <c r="J1" s="7" t="s">
        <v>222</v>
      </c>
      <c r="K1" s="7" t="s">
        <v>223</v>
      </c>
      <c r="L1" s="7" t="s">
        <v>224</v>
      </c>
      <c r="M1" s="7" t="s">
        <v>225</v>
      </c>
      <c r="N1" s="8" t="s">
        <v>226</v>
      </c>
    </row>
    <row r="2" spans="1:14" s="4" customFormat="1" ht="25.5">
      <c r="A2" s="9" t="s">
        <v>229</v>
      </c>
      <c r="B2" s="5">
        <v>562</v>
      </c>
      <c r="C2" s="10">
        <v>42864</v>
      </c>
      <c r="D2" s="5" t="s">
        <v>230</v>
      </c>
      <c r="E2" s="10">
        <v>42766</v>
      </c>
      <c r="F2" s="5">
        <v>0</v>
      </c>
      <c r="G2" s="10">
        <v>42864</v>
      </c>
      <c r="H2" s="10">
        <v>42796</v>
      </c>
      <c r="I2" s="5" t="s">
        <v>228</v>
      </c>
      <c r="J2" s="5">
        <v>461.16</v>
      </c>
      <c r="K2" s="5">
        <v>83.16</v>
      </c>
      <c r="L2" s="5">
        <v>378</v>
      </c>
      <c r="M2" s="11">
        <f>+G2-H2</f>
        <v>68</v>
      </c>
      <c r="N2" s="12">
        <f>+L2*M2</f>
        <v>25704</v>
      </c>
    </row>
    <row r="3" spans="1:14" s="4" customFormat="1" ht="12.75">
      <c r="A3" s="9" t="s">
        <v>227</v>
      </c>
      <c r="B3" s="5">
        <v>750</v>
      </c>
      <c r="C3" s="10">
        <v>42877</v>
      </c>
      <c r="D3" s="5" t="str">
        <f>"41700595566"</f>
        <v>41700595566</v>
      </c>
      <c r="E3" s="10">
        <v>42789</v>
      </c>
      <c r="F3" s="5">
        <v>0</v>
      </c>
      <c r="G3" s="10">
        <v>42878</v>
      </c>
      <c r="H3" s="10">
        <v>42823</v>
      </c>
      <c r="I3" s="5" t="s">
        <v>228</v>
      </c>
      <c r="J3" s="13">
        <v>2818.84</v>
      </c>
      <c r="K3" s="5">
        <v>480.91</v>
      </c>
      <c r="L3" s="13">
        <v>2337.93</v>
      </c>
      <c r="M3" s="11">
        <f>+G3-H3</f>
        <v>55</v>
      </c>
      <c r="N3" s="12">
        <f>+L3*M3</f>
        <v>128586.15</v>
      </c>
    </row>
    <row r="4" spans="1:14" s="4" customFormat="1" ht="12.75">
      <c r="A4" s="9" t="s">
        <v>227</v>
      </c>
      <c r="B4" s="5">
        <v>751</v>
      </c>
      <c r="C4" s="10">
        <v>42877</v>
      </c>
      <c r="D4" s="5" t="str">
        <f>"41700595564"</f>
        <v>41700595564</v>
      </c>
      <c r="E4" s="10">
        <v>42789</v>
      </c>
      <c r="F4" s="5">
        <v>0</v>
      </c>
      <c r="G4" s="10">
        <v>42878</v>
      </c>
      <c r="H4" s="10">
        <v>42823</v>
      </c>
      <c r="I4" s="5" t="s">
        <v>228</v>
      </c>
      <c r="J4" s="13">
        <v>4309.21</v>
      </c>
      <c r="K4" s="5">
        <v>749.67</v>
      </c>
      <c r="L4" s="13">
        <v>3559.54</v>
      </c>
      <c r="M4" s="11">
        <f>+G4-H4</f>
        <v>55</v>
      </c>
      <c r="N4" s="12">
        <f>+L4*M4</f>
        <v>195774.7</v>
      </c>
    </row>
    <row r="5" spans="1:14" s="4" customFormat="1" ht="12.75">
      <c r="A5" s="9" t="s">
        <v>23</v>
      </c>
      <c r="B5" s="5">
        <v>373</v>
      </c>
      <c r="C5" s="10">
        <v>42828</v>
      </c>
      <c r="D5" s="5" t="s">
        <v>24</v>
      </c>
      <c r="E5" s="10">
        <v>42744</v>
      </c>
      <c r="F5" s="5">
        <v>0</v>
      </c>
      <c r="G5" s="10">
        <v>42830</v>
      </c>
      <c r="H5" s="10">
        <v>42775</v>
      </c>
      <c r="I5" s="5" t="s">
        <v>228</v>
      </c>
      <c r="J5" s="13">
        <v>5309.93</v>
      </c>
      <c r="K5" s="5">
        <v>0</v>
      </c>
      <c r="L5" s="13">
        <v>5309.93</v>
      </c>
      <c r="M5" s="11">
        <f>+G5-H5</f>
        <v>55</v>
      </c>
      <c r="N5" s="12">
        <f>+L5*M5</f>
        <v>292046.15</v>
      </c>
    </row>
    <row r="6" spans="1:14" s="4" customFormat="1" ht="38.25">
      <c r="A6" s="9" t="s">
        <v>25</v>
      </c>
      <c r="B6" s="5">
        <v>414</v>
      </c>
      <c r="C6" s="10">
        <v>42837</v>
      </c>
      <c r="D6" s="5" t="str">
        <f>"8017016781"</f>
        <v>8017016781</v>
      </c>
      <c r="E6" s="10">
        <v>42759</v>
      </c>
      <c r="F6" s="5">
        <v>0</v>
      </c>
      <c r="G6" s="10">
        <v>42843</v>
      </c>
      <c r="H6" s="10">
        <v>42789</v>
      </c>
      <c r="I6" s="5" t="s">
        <v>26</v>
      </c>
      <c r="J6" s="5">
        <v>38.33</v>
      </c>
      <c r="K6" s="5">
        <v>38.33</v>
      </c>
      <c r="L6" s="5">
        <v>0</v>
      </c>
      <c r="M6" s="11">
        <f>+G6-H6</f>
        <v>54</v>
      </c>
      <c r="N6" s="12">
        <f>+L6*M6</f>
        <v>0</v>
      </c>
    </row>
    <row r="7" spans="1:14" s="4" customFormat="1" ht="12.75">
      <c r="A7" s="9" t="s">
        <v>231</v>
      </c>
      <c r="B7" s="5">
        <v>798</v>
      </c>
      <c r="C7" s="10">
        <v>42878</v>
      </c>
      <c r="D7" s="5" t="s">
        <v>232</v>
      </c>
      <c r="E7" s="10">
        <v>42795</v>
      </c>
      <c r="F7" s="5">
        <v>0</v>
      </c>
      <c r="G7" s="10">
        <v>42878</v>
      </c>
      <c r="H7" s="10">
        <v>42827</v>
      </c>
      <c r="I7" s="5" t="s">
        <v>228</v>
      </c>
      <c r="J7" s="5">
        <v>219.26</v>
      </c>
      <c r="K7" s="5">
        <v>39.54</v>
      </c>
      <c r="L7" s="5">
        <v>179.72</v>
      </c>
      <c r="M7" s="11">
        <f>+G7-H7</f>
        <v>51</v>
      </c>
      <c r="N7" s="12">
        <f>+L7*M7</f>
        <v>9165.72</v>
      </c>
    </row>
    <row r="8" spans="1:14" s="4" customFormat="1" ht="12.75">
      <c r="A8" s="9" t="s">
        <v>231</v>
      </c>
      <c r="B8" s="5">
        <v>793</v>
      </c>
      <c r="C8" s="10">
        <v>42878</v>
      </c>
      <c r="D8" s="5" t="s">
        <v>22</v>
      </c>
      <c r="E8" s="10">
        <v>42795</v>
      </c>
      <c r="F8" s="5">
        <v>0</v>
      </c>
      <c r="G8" s="10">
        <v>42878</v>
      </c>
      <c r="H8" s="10">
        <v>42827</v>
      </c>
      <c r="I8" s="5" t="s">
        <v>228</v>
      </c>
      <c r="J8" s="5">
        <v>670.27</v>
      </c>
      <c r="K8" s="5">
        <v>120.87</v>
      </c>
      <c r="L8" s="5">
        <v>549.4</v>
      </c>
      <c r="M8" s="11">
        <f>+G8-H8</f>
        <v>51</v>
      </c>
      <c r="N8" s="12">
        <f>+L8*M8</f>
        <v>28019.399999999998</v>
      </c>
    </row>
    <row r="9" spans="1:14" s="4" customFormat="1" ht="38.25">
      <c r="A9" s="9" t="s">
        <v>35</v>
      </c>
      <c r="B9" s="5">
        <v>340</v>
      </c>
      <c r="C9" s="10">
        <v>42826</v>
      </c>
      <c r="D9" s="5" t="s">
        <v>36</v>
      </c>
      <c r="E9" s="10">
        <v>42704</v>
      </c>
      <c r="F9" s="5">
        <v>0</v>
      </c>
      <c r="G9" s="10">
        <v>42830</v>
      </c>
      <c r="H9" s="10">
        <v>42779</v>
      </c>
      <c r="I9" s="5" t="s">
        <v>228</v>
      </c>
      <c r="J9" s="13">
        <v>4321.46</v>
      </c>
      <c r="K9" s="5">
        <v>205.78</v>
      </c>
      <c r="L9" s="13">
        <v>4115.68</v>
      </c>
      <c r="M9" s="11">
        <f>+G9-H9</f>
        <v>51</v>
      </c>
      <c r="N9" s="12">
        <f>+L9*M9</f>
        <v>209899.68000000002</v>
      </c>
    </row>
    <row r="10" spans="1:14" s="4" customFormat="1" ht="25.5">
      <c r="A10" s="9" t="s">
        <v>37</v>
      </c>
      <c r="B10" s="5">
        <v>389</v>
      </c>
      <c r="C10" s="10">
        <v>42829</v>
      </c>
      <c r="D10" s="5" t="s">
        <v>38</v>
      </c>
      <c r="E10" s="10">
        <v>42751</v>
      </c>
      <c r="F10" s="5">
        <v>0</v>
      </c>
      <c r="G10" s="10">
        <v>42830</v>
      </c>
      <c r="H10" s="10">
        <v>42783</v>
      </c>
      <c r="I10" s="5" t="s">
        <v>26</v>
      </c>
      <c r="J10" s="5">
        <v>829.99</v>
      </c>
      <c r="K10" s="5">
        <v>149.67</v>
      </c>
      <c r="L10" s="5">
        <v>680.32</v>
      </c>
      <c r="M10" s="11">
        <f>+G10-H10</f>
        <v>47</v>
      </c>
      <c r="N10" s="12">
        <f>+L10*M10</f>
        <v>31975.04</v>
      </c>
    </row>
    <row r="11" spans="1:14" s="4" customFormat="1" ht="12.75">
      <c r="A11" s="9" t="s">
        <v>39</v>
      </c>
      <c r="B11" s="5">
        <v>434</v>
      </c>
      <c r="C11" s="10">
        <v>42843</v>
      </c>
      <c r="D11" s="5" t="str">
        <f>"17005"</f>
        <v>17005</v>
      </c>
      <c r="E11" s="10">
        <v>42766</v>
      </c>
      <c r="F11" s="5">
        <v>0</v>
      </c>
      <c r="G11" s="10">
        <v>42843</v>
      </c>
      <c r="H11" s="10">
        <v>42796</v>
      </c>
      <c r="I11" s="5" t="s">
        <v>228</v>
      </c>
      <c r="J11" s="13">
        <v>5539.57</v>
      </c>
      <c r="K11" s="5">
        <v>998.94</v>
      </c>
      <c r="L11" s="13">
        <v>4540.63</v>
      </c>
      <c r="M11" s="11">
        <f>+G11-H11</f>
        <v>47</v>
      </c>
      <c r="N11" s="12">
        <f>+L11*M11</f>
        <v>213409.61000000002</v>
      </c>
    </row>
    <row r="12" spans="1:14" s="4" customFormat="1" ht="12.75">
      <c r="A12" s="9" t="s">
        <v>227</v>
      </c>
      <c r="B12" s="5">
        <v>570</v>
      </c>
      <c r="C12" s="10">
        <v>42865</v>
      </c>
      <c r="D12" s="5" t="str">
        <f>"41700595573"</f>
        <v>41700595573</v>
      </c>
      <c r="E12" s="10">
        <v>42789</v>
      </c>
      <c r="F12" s="5">
        <v>0</v>
      </c>
      <c r="G12" s="10">
        <v>42868</v>
      </c>
      <c r="H12" s="10">
        <v>42823</v>
      </c>
      <c r="I12" s="5" t="s">
        <v>228</v>
      </c>
      <c r="J12" s="5">
        <v>21.96</v>
      </c>
      <c r="K12" s="5">
        <v>2.91</v>
      </c>
      <c r="L12" s="5">
        <v>19.05</v>
      </c>
      <c r="M12" s="11">
        <f>+G12-H12</f>
        <v>45</v>
      </c>
      <c r="N12" s="12">
        <f>+L12*M12</f>
        <v>857.25</v>
      </c>
    </row>
    <row r="13" spans="1:14" s="4" customFormat="1" ht="12.75">
      <c r="A13" s="9" t="s">
        <v>227</v>
      </c>
      <c r="B13" s="5">
        <v>567</v>
      </c>
      <c r="C13" s="10">
        <v>42864</v>
      </c>
      <c r="D13" s="5" t="str">
        <f>"41700595570"</f>
        <v>41700595570</v>
      </c>
      <c r="E13" s="10">
        <v>42789</v>
      </c>
      <c r="F13" s="5">
        <v>0</v>
      </c>
      <c r="G13" s="10">
        <v>42868</v>
      </c>
      <c r="H13" s="10">
        <v>42823</v>
      </c>
      <c r="I13" s="5" t="s">
        <v>228</v>
      </c>
      <c r="J13" s="5">
        <v>10.26</v>
      </c>
      <c r="K13" s="5">
        <v>1.85</v>
      </c>
      <c r="L13" s="5">
        <v>8.41</v>
      </c>
      <c r="M13" s="11">
        <f>+G13-H13</f>
        <v>45</v>
      </c>
      <c r="N13" s="12">
        <f>+L13*M13</f>
        <v>378.45</v>
      </c>
    </row>
    <row r="14" spans="1:14" s="4" customFormat="1" ht="12.75">
      <c r="A14" s="9" t="s">
        <v>227</v>
      </c>
      <c r="B14" s="5">
        <v>575</v>
      </c>
      <c r="C14" s="10">
        <v>42865</v>
      </c>
      <c r="D14" s="5" t="str">
        <f>"41700595567"</f>
        <v>41700595567</v>
      </c>
      <c r="E14" s="10">
        <v>42789</v>
      </c>
      <c r="F14" s="5">
        <v>0</v>
      </c>
      <c r="G14" s="10">
        <v>42868</v>
      </c>
      <c r="H14" s="10">
        <v>42823</v>
      </c>
      <c r="I14" s="5" t="s">
        <v>228</v>
      </c>
      <c r="J14" s="5">
        <v>10.26</v>
      </c>
      <c r="K14" s="5">
        <v>1.85</v>
      </c>
      <c r="L14" s="5">
        <v>8.41</v>
      </c>
      <c r="M14" s="11">
        <f>+G14-H14</f>
        <v>45</v>
      </c>
      <c r="N14" s="12">
        <f>+L14*M14</f>
        <v>378.45</v>
      </c>
    </row>
    <row r="15" spans="1:14" s="4" customFormat="1" ht="12.75">
      <c r="A15" s="9" t="s">
        <v>227</v>
      </c>
      <c r="B15" s="5">
        <v>568</v>
      </c>
      <c r="C15" s="10">
        <v>42864</v>
      </c>
      <c r="D15" s="5" t="str">
        <f>"41700595571"</f>
        <v>41700595571</v>
      </c>
      <c r="E15" s="10">
        <v>42789</v>
      </c>
      <c r="F15" s="5">
        <v>0</v>
      </c>
      <c r="G15" s="10">
        <v>42868</v>
      </c>
      <c r="H15" s="10">
        <v>42823</v>
      </c>
      <c r="I15" s="5" t="s">
        <v>228</v>
      </c>
      <c r="J15" s="5">
        <v>150.79</v>
      </c>
      <c r="K15" s="5">
        <v>17.48</v>
      </c>
      <c r="L15" s="5">
        <v>133.31</v>
      </c>
      <c r="M15" s="11">
        <f>+G15-H15</f>
        <v>45</v>
      </c>
      <c r="N15" s="12">
        <f>+L15*M15</f>
        <v>5998.95</v>
      </c>
    </row>
    <row r="16" spans="1:14" s="4" customFormat="1" ht="12.75">
      <c r="A16" s="9" t="s">
        <v>227</v>
      </c>
      <c r="B16" s="5">
        <v>566</v>
      </c>
      <c r="C16" s="10">
        <v>42864</v>
      </c>
      <c r="D16" s="5" t="str">
        <f>"41700595565"</f>
        <v>41700595565</v>
      </c>
      <c r="E16" s="10">
        <v>42789</v>
      </c>
      <c r="F16" s="5">
        <v>0</v>
      </c>
      <c r="G16" s="10">
        <v>42868</v>
      </c>
      <c r="H16" s="10">
        <v>42823</v>
      </c>
      <c r="I16" s="5" t="s">
        <v>228</v>
      </c>
      <c r="J16" s="5">
        <v>48.57</v>
      </c>
      <c r="K16" s="5">
        <v>5.33</v>
      </c>
      <c r="L16" s="5">
        <v>43.24</v>
      </c>
      <c r="M16" s="11">
        <f>+G16-H16</f>
        <v>45</v>
      </c>
      <c r="N16" s="12">
        <f>+L16*M16</f>
        <v>1945.8000000000002</v>
      </c>
    </row>
    <row r="17" spans="1:14" s="4" customFormat="1" ht="12.75">
      <c r="A17" s="9" t="s">
        <v>227</v>
      </c>
      <c r="B17" s="5">
        <v>571</v>
      </c>
      <c r="C17" s="10">
        <v>42865</v>
      </c>
      <c r="D17" s="5" t="str">
        <f>"41700595568"</f>
        <v>41700595568</v>
      </c>
      <c r="E17" s="10">
        <v>42789</v>
      </c>
      <c r="F17" s="5">
        <v>0</v>
      </c>
      <c r="G17" s="10">
        <v>42868</v>
      </c>
      <c r="H17" s="10">
        <v>42823</v>
      </c>
      <c r="I17" s="5" t="s">
        <v>228</v>
      </c>
      <c r="J17" s="13">
        <v>1613.76</v>
      </c>
      <c r="K17" s="5">
        <v>263.6</v>
      </c>
      <c r="L17" s="13">
        <v>1350.16</v>
      </c>
      <c r="M17" s="11">
        <f>+G17-H17</f>
        <v>45</v>
      </c>
      <c r="N17" s="12">
        <f>+L17*M17</f>
        <v>60757.200000000004</v>
      </c>
    </row>
    <row r="18" spans="1:14" s="4" customFormat="1" ht="12.75">
      <c r="A18" s="9" t="s">
        <v>227</v>
      </c>
      <c r="B18" s="5">
        <v>573</v>
      </c>
      <c r="C18" s="10">
        <v>42865</v>
      </c>
      <c r="D18" s="5" t="str">
        <f>"41700595574"</f>
        <v>41700595574</v>
      </c>
      <c r="E18" s="10">
        <v>42789</v>
      </c>
      <c r="F18" s="5">
        <v>0</v>
      </c>
      <c r="G18" s="10">
        <v>42868</v>
      </c>
      <c r="H18" s="10">
        <v>42823</v>
      </c>
      <c r="I18" s="5" t="s">
        <v>228</v>
      </c>
      <c r="J18" s="5">
        <v>33.25</v>
      </c>
      <c r="K18" s="5">
        <v>3.94</v>
      </c>
      <c r="L18" s="5">
        <v>29.31</v>
      </c>
      <c r="M18" s="11">
        <f>+G18-H18</f>
        <v>45</v>
      </c>
      <c r="N18" s="12">
        <f>+L18*M18</f>
        <v>1318.95</v>
      </c>
    </row>
    <row r="19" spans="1:14" s="4" customFormat="1" ht="12.75">
      <c r="A19" s="9" t="s">
        <v>227</v>
      </c>
      <c r="B19" s="5">
        <v>572</v>
      </c>
      <c r="C19" s="10">
        <v>42865</v>
      </c>
      <c r="D19" s="5" t="str">
        <f>"41700595569"</f>
        <v>41700595569</v>
      </c>
      <c r="E19" s="10">
        <v>42789</v>
      </c>
      <c r="F19" s="5">
        <v>0</v>
      </c>
      <c r="G19" s="10">
        <v>42868</v>
      </c>
      <c r="H19" s="10">
        <v>42823</v>
      </c>
      <c r="I19" s="5" t="s">
        <v>228</v>
      </c>
      <c r="J19" s="13">
        <v>7053.16</v>
      </c>
      <c r="K19" s="13">
        <v>1244.48</v>
      </c>
      <c r="L19" s="13">
        <v>5808.68</v>
      </c>
      <c r="M19" s="11">
        <f>+G19-H19</f>
        <v>45</v>
      </c>
      <c r="N19" s="12">
        <f>+L19*M19</f>
        <v>261390.6</v>
      </c>
    </row>
    <row r="20" spans="1:14" s="4" customFormat="1" ht="12.75">
      <c r="A20" s="9" t="s">
        <v>227</v>
      </c>
      <c r="B20" s="5">
        <v>569</v>
      </c>
      <c r="C20" s="10">
        <v>42865</v>
      </c>
      <c r="D20" s="5" t="str">
        <f>"41700595572"</f>
        <v>41700595572</v>
      </c>
      <c r="E20" s="10">
        <v>42789</v>
      </c>
      <c r="F20" s="5">
        <v>0</v>
      </c>
      <c r="G20" s="10">
        <v>42868</v>
      </c>
      <c r="H20" s="10">
        <v>42823</v>
      </c>
      <c r="I20" s="5" t="s">
        <v>228</v>
      </c>
      <c r="J20" s="5">
        <v>714.35</v>
      </c>
      <c r="K20" s="5">
        <v>101.41</v>
      </c>
      <c r="L20" s="5">
        <v>612.94</v>
      </c>
      <c r="M20" s="11">
        <f>+G20-H20</f>
        <v>45</v>
      </c>
      <c r="N20" s="12">
        <f>+L20*M20</f>
        <v>27582.300000000003</v>
      </c>
    </row>
    <row r="21" spans="1:14" s="4" customFormat="1" ht="12.75">
      <c r="A21" s="9" t="s">
        <v>227</v>
      </c>
      <c r="B21" s="5">
        <v>574</v>
      </c>
      <c r="C21" s="10">
        <v>42865</v>
      </c>
      <c r="D21" s="5" t="str">
        <f>"41700595563"</f>
        <v>41700595563</v>
      </c>
      <c r="E21" s="10">
        <v>42789</v>
      </c>
      <c r="F21" s="5">
        <v>0</v>
      </c>
      <c r="G21" s="10">
        <v>42868</v>
      </c>
      <c r="H21" s="10">
        <v>42823</v>
      </c>
      <c r="I21" s="5" t="s">
        <v>228</v>
      </c>
      <c r="J21" s="13">
        <v>3582.43</v>
      </c>
      <c r="K21" s="5">
        <v>618.61</v>
      </c>
      <c r="L21" s="13">
        <v>2963.82</v>
      </c>
      <c r="M21" s="11">
        <f>+G21-H21</f>
        <v>45</v>
      </c>
      <c r="N21" s="12">
        <f>+L21*M21</f>
        <v>133371.9</v>
      </c>
    </row>
    <row r="22" spans="1:14" s="4" customFormat="1" ht="12.75">
      <c r="A22" s="9" t="s">
        <v>95</v>
      </c>
      <c r="B22" s="5">
        <v>930</v>
      </c>
      <c r="C22" s="10">
        <v>42900</v>
      </c>
      <c r="D22" s="14">
        <v>43062</v>
      </c>
      <c r="E22" s="10">
        <v>42818</v>
      </c>
      <c r="F22" s="5">
        <v>0</v>
      </c>
      <c r="G22" s="10">
        <v>42900</v>
      </c>
      <c r="H22" s="10">
        <v>42855</v>
      </c>
      <c r="I22" s="5" t="s">
        <v>228</v>
      </c>
      <c r="J22" s="13">
        <v>1342</v>
      </c>
      <c r="K22" s="5">
        <v>242</v>
      </c>
      <c r="L22" s="13">
        <v>1100</v>
      </c>
      <c r="M22" s="11">
        <f>+G22-H22</f>
        <v>45</v>
      </c>
      <c r="N22" s="12">
        <f>+L22*M22</f>
        <v>49500</v>
      </c>
    </row>
    <row r="23" spans="1:14" s="4" customFormat="1" ht="12.75">
      <c r="A23" s="9" t="s">
        <v>231</v>
      </c>
      <c r="B23" s="5">
        <v>577</v>
      </c>
      <c r="C23" s="10">
        <v>42866</v>
      </c>
      <c r="D23" s="5" t="s">
        <v>27</v>
      </c>
      <c r="E23" s="10">
        <v>42795</v>
      </c>
      <c r="F23" s="5">
        <v>0</v>
      </c>
      <c r="G23" s="10">
        <v>42868</v>
      </c>
      <c r="H23" s="10">
        <v>42826</v>
      </c>
      <c r="I23" s="5" t="s">
        <v>228</v>
      </c>
      <c r="J23" s="5">
        <v>195.25</v>
      </c>
      <c r="K23" s="5">
        <v>35.21</v>
      </c>
      <c r="L23" s="5">
        <v>160.04</v>
      </c>
      <c r="M23" s="11">
        <f>+G23-H23</f>
        <v>42</v>
      </c>
      <c r="N23" s="12">
        <f>+L23*M23</f>
        <v>6721.679999999999</v>
      </c>
    </row>
    <row r="24" spans="1:14" s="4" customFormat="1" ht="12.75">
      <c r="A24" s="9" t="s">
        <v>231</v>
      </c>
      <c r="B24" s="5">
        <v>582</v>
      </c>
      <c r="C24" s="10">
        <v>42866</v>
      </c>
      <c r="D24" s="5" t="s">
        <v>28</v>
      </c>
      <c r="E24" s="10">
        <v>42795</v>
      </c>
      <c r="F24" s="5">
        <v>0</v>
      </c>
      <c r="G24" s="10">
        <v>42868</v>
      </c>
      <c r="H24" s="10">
        <v>42826</v>
      </c>
      <c r="I24" s="5" t="s">
        <v>228</v>
      </c>
      <c r="J24" s="5">
        <v>505.91</v>
      </c>
      <c r="K24" s="5">
        <v>91.23</v>
      </c>
      <c r="L24" s="5">
        <v>414.68</v>
      </c>
      <c r="M24" s="11">
        <f>+G24-H24</f>
        <v>42</v>
      </c>
      <c r="N24" s="12">
        <f>+L24*M24</f>
        <v>17416.56</v>
      </c>
    </row>
    <row r="25" spans="1:14" s="4" customFormat="1" ht="12.75">
      <c r="A25" s="9" t="s">
        <v>231</v>
      </c>
      <c r="B25" s="5">
        <v>578</v>
      </c>
      <c r="C25" s="10">
        <v>42866</v>
      </c>
      <c r="D25" s="5" t="s">
        <v>29</v>
      </c>
      <c r="E25" s="10">
        <v>42795</v>
      </c>
      <c r="F25" s="5">
        <v>0</v>
      </c>
      <c r="G25" s="10">
        <v>42868</v>
      </c>
      <c r="H25" s="10">
        <v>42826</v>
      </c>
      <c r="I25" s="5" t="s">
        <v>228</v>
      </c>
      <c r="J25" s="5">
        <v>789.61</v>
      </c>
      <c r="K25" s="5">
        <v>142.39</v>
      </c>
      <c r="L25" s="5">
        <v>647.22</v>
      </c>
      <c r="M25" s="11">
        <f>+G25-H25</f>
        <v>42</v>
      </c>
      <c r="N25" s="12">
        <f>+L25*M25</f>
        <v>27183.24</v>
      </c>
    </row>
    <row r="26" spans="1:14" s="4" customFormat="1" ht="12.75">
      <c r="A26" s="9" t="s">
        <v>231</v>
      </c>
      <c r="B26" s="5">
        <v>579</v>
      </c>
      <c r="C26" s="10">
        <v>42866</v>
      </c>
      <c r="D26" s="5" t="s">
        <v>30</v>
      </c>
      <c r="E26" s="10">
        <v>42795</v>
      </c>
      <c r="F26" s="5">
        <v>0</v>
      </c>
      <c r="G26" s="10">
        <v>42868</v>
      </c>
      <c r="H26" s="10">
        <v>42826</v>
      </c>
      <c r="I26" s="5" t="s">
        <v>228</v>
      </c>
      <c r="J26" s="13">
        <v>1053.37</v>
      </c>
      <c r="K26" s="5">
        <v>189.95</v>
      </c>
      <c r="L26" s="5">
        <v>863.42</v>
      </c>
      <c r="M26" s="11">
        <f>+G26-H26</f>
        <v>42</v>
      </c>
      <c r="N26" s="12">
        <f>+L26*M26</f>
        <v>36263.64</v>
      </c>
    </row>
    <row r="27" spans="1:14" s="4" customFormat="1" ht="12.75">
      <c r="A27" s="9" t="s">
        <v>231</v>
      </c>
      <c r="B27" s="5">
        <v>580</v>
      </c>
      <c r="C27" s="10">
        <v>42866</v>
      </c>
      <c r="D27" s="5" t="s">
        <v>31</v>
      </c>
      <c r="E27" s="10">
        <v>42795</v>
      </c>
      <c r="F27" s="5">
        <v>0</v>
      </c>
      <c r="G27" s="10">
        <v>42868</v>
      </c>
      <c r="H27" s="10">
        <v>42826</v>
      </c>
      <c r="I27" s="5" t="s">
        <v>228</v>
      </c>
      <c r="J27" s="5">
        <v>346.18</v>
      </c>
      <c r="K27" s="5">
        <v>62.43</v>
      </c>
      <c r="L27" s="5">
        <v>283.75</v>
      </c>
      <c r="M27" s="11">
        <f>+G27-H27</f>
        <v>42</v>
      </c>
      <c r="N27" s="12">
        <f>+L27*M27</f>
        <v>11917.5</v>
      </c>
    </row>
    <row r="28" spans="1:14" s="4" customFormat="1" ht="12.75">
      <c r="A28" s="9" t="s">
        <v>231</v>
      </c>
      <c r="B28" s="5">
        <v>576</v>
      </c>
      <c r="C28" s="10">
        <v>42866</v>
      </c>
      <c r="D28" s="5" t="s">
        <v>32</v>
      </c>
      <c r="E28" s="10">
        <v>42795</v>
      </c>
      <c r="F28" s="5">
        <v>0</v>
      </c>
      <c r="G28" s="10">
        <v>42868</v>
      </c>
      <c r="H28" s="10">
        <v>42826</v>
      </c>
      <c r="I28" s="5" t="s">
        <v>228</v>
      </c>
      <c r="J28" s="13">
        <v>1108.5</v>
      </c>
      <c r="K28" s="5">
        <v>199.89</v>
      </c>
      <c r="L28" s="5">
        <v>908.61</v>
      </c>
      <c r="M28" s="11">
        <f>+G28-H28</f>
        <v>42</v>
      </c>
      <c r="N28" s="12">
        <f>+L28*M28</f>
        <v>38161.62</v>
      </c>
    </row>
    <row r="29" spans="1:14" s="4" customFormat="1" ht="12.75">
      <c r="A29" s="9" t="s">
        <v>231</v>
      </c>
      <c r="B29" s="5">
        <v>583</v>
      </c>
      <c r="C29" s="10">
        <v>42866</v>
      </c>
      <c r="D29" s="5" t="s">
        <v>33</v>
      </c>
      <c r="E29" s="10">
        <v>42795</v>
      </c>
      <c r="F29" s="5">
        <v>0</v>
      </c>
      <c r="G29" s="10">
        <v>42868</v>
      </c>
      <c r="H29" s="10">
        <v>42826</v>
      </c>
      <c r="I29" s="5" t="s">
        <v>228</v>
      </c>
      <c r="J29" s="13">
        <v>2391.65</v>
      </c>
      <c r="K29" s="5">
        <v>431.28</v>
      </c>
      <c r="L29" s="13">
        <v>1960.37</v>
      </c>
      <c r="M29" s="11">
        <f>+G29-H29</f>
        <v>42</v>
      </c>
      <c r="N29" s="12">
        <f>+L29*M29</f>
        <v>82335.54</v>
      </c>
    </row>
    <row r="30" spans="1:14" s="4" customFormat="1" ht="12.75">
      <c r="A30" s="9" t="s">
        <v>231</v>
      </c>
      <c r="B30" s="5">
        <v>581</v>
      </c>
      <c r="C30" s="10">
        <v>42866</v>
      </c>
      <c r="D30" s="5" t="s">
        <v>34</v>
      </c>
      <c r="E30" s="10">
        <v>42795</v>
      </c>
      <c r="F30" s="5">
        <v>0</v>
      </c>
      <c r="G30" s="10">
        <v>42868</v>
      </c>
      <c r="H30" s="10">
        <v>42826</v>
      </c>
      <c r="I30" s="5" t="s">
        <v>228</v>
      </c>
      <c r="J30" s="5">
        <v>435.8</v>
      </c>
      <c r="K30" s="5">
        <v>78.59</v>
      </c>
      <c r="L30" s="5">
        <v>357.21</v>
      </c>
      <c r="M30" s="11">
        <f>+G30-H30</f>
        <v>42</v>
      </c>
      <c r="N30" s="12">
        <f>+L30*M30</f>
        <v>15002.82</v>
      </c>
    </row>
    <row r="31" spans="1:14" s="4" customFormat="1" ht="25.5">
      <c r="A31" s="9" t="s">
        <v>110</v>
      </c>
      <c r="B31" s="5">
        <v>423</v>
      </c>
      <c r="C31" s="10">
        <v>42837</v>
      </c>
      <c r="D31" s="5" t="str">
        <f>"0350120170800047700"</f>
        <v>0350120170800047700</v>
      </c>
      <c r="E31" s="10">
        <v>42769</v>
      </c>
      <c r="F31" s="5">
        <v>0</v>
      </c>
      <c r="G31" s="10">
        <v>42843</v>
      </c>
      <c r="H31" s="10">
        <v>42804</v>
      </c>
      <c r="I31" s="5" t="s">
        <v>228</v>
      </c>
      <c r="J31" s="5">
        <v>0.84</v>
      </c>
      <c r="K31" s="5">
        <v>0.08</v>
      </c>
      <c r="L31" s="5">
        <v>0.76</v>
      </c>
      <c r="M31" s="11">
        <f>+G31-H31</f>
        <v>39</v>
      </c>
      <c r="N31" s="12">
        <f>+L31*M31</f>
        <v>29.64</v>
      </c>
    </row>
    <row r="32" spans="1:14" s="4" customFormat="1" ht="25.5">
      <c r="A32" s="9" t="s">
        <v>110</v>
      </c>
      <c r="B32" s="5">
        <v>423</v>
      </c>
      <c r="C32" s="10">
        <v>42837</v>
      </c>
      <c r="D32" s="5" t="str">
        <f>"0350120170800046800"</f>
        <v>0350120170800046800</v>
      </c>
      <c r="E32" s="10">
        <v>42769</v>
      </c>
      <c r="F32" s="5">
        <v>0</v>
      </c>
      <c r="G32" s="10">
        <v>42843</v>
      </c>
      <c r="H32" s="10">
        <v>42804</v>
      </c>
      <c r="I32" s="5" t="s">
        <v>228</v>
      </c>
      <c r="J32" s="5">
        <v>20.67</v>
      </c>
      <c r="K32" s="5">
        <v>1.88</v>
      </c>
      <c r="L32" s="5">
        <v>18.79</v>
      </c>
      <c r="M32" s="11">
        <f>+G32-H32</f>
        <v>39</v>
      </c>
      <c r="N32" s="12">
        <f>+L32*M32</f>
        <v>732.81</v>
      </c>
    </row>
    <row r="33" spans="1:14" s="4" customFormat="1" ht="25.5">
      <c r="A33" s="9" t="s">
        <v>110</v>
      </c>
      <c r="B33" s="5">
        <v>422</v>
      </c>
      <c r="C33" s="10">
        <v>42837</v>
      </c>
      <c r="D33" s="5" t="str">
        <f>"0350120170800048000"</f>
        <v>0350120170800048000</v>
      </c>
      <c r="E33" s="10">
        <v>42769</v>
      </c>
      <c r="F33" s="5">
        <v>0</v>
      </c>
      <c r="G33" s="10">
        <v>42843</v>
      </c>
      <c r="H33" s="10">
        <v>42804</v>
      </c>
      <c r="I33" s="5" t="s">
        <v>228</v>
      </c>
      <c r="J33" s="5">
        <v>3.48</v>
      </c>
      <c r="K33" s="5">
        <v>0.32</v>
      </c>
      <c r="L33" s="5">
        <v>3.16</v>
      </c>
      <c r="M33" s="11">
        <f>+G33-H33</f>
        <v>39</v>
      </c>
      <c r="N33" s="12">
        <f>+L33*M33</f>
        <v>123.24000000000001</v>
      </c>
    </row>
    <row r="34" spans="1:14" s="4" customFormat="1" ht="12.75">
      <c r="A34" s="9" t="s">
        <v>111</v>
      </c>
      <c r="B34" s="5">
        <v>704</v>
      </c>
      <c r="C34" s="10">
        <v>42868</v>
      </c>
      <c r="D34" s="5" t="str">
        <f>"628"</f>
        <v>628</v>
      </c>
      <c r="E34" s="10">
        <v>42800</v>
      </c>
      <c r="F34" s="5">
        <v>0</v>
      </c>
      <c r="G34" s="10">
        <v>42868</v>
      </c>
      <c r="H34" s="10">
        <v>42831</v>
      </c>
      <c r="I34" s="5" t="s">
        <v>228</v>
      </c>
      <c r="J34" s="5">
        <v>671</v>
      </c>
      <c r="K34" s="5">
        <v>121</v>
      </c>
      <c r="L34" s="5">
        <v>550</v>
      </c>
      <c r="M34" s="11">
        <f>+G34-H34</f>
        <v>37</v>
      </c>
      <c r="N34" s="12">
        <f>+L34*M34</f>
        <v>20350</v>
      </c>
    </row>
    <row r="35" spans="1:14" s="4" customFormat="1" ht="12.75">
      <c r="A35" s="9" t="s">
        <v>40</v>
      </c>
      <c r="B35" s="5">
        <v>922</v>
      </c>
      <c r="C35" s="10">
        <v>42900</v>
      </c>
      <c r="D35" s="5" t="str">
        <f>"03307"</f>
        <v>03307</v>
      </c>
      <c r="E35" s="10">
        <v>42825</v>
      </c>
      <c r="F35" s="5">
        <v>0</v>
      </c>
      <c r="G35" s="10">
        <v>42900</v>
      </c>
      <c r="H35" s="10">
        <v>42864</v>
      </c>
      <c r="I35" s="5" t="s">
        <v>228</v>
      </c>
      <c r="J35" s="5">
        <v>242.17</v>
      </c>
      <c r="K35" s="5">
        <v>43.67</v>
      </c>
      <c r="L35" s="5">
        <v>198.5</v>
      </c>
      <c r="M35" s="11">
        <f>+G35-H35</f>
        <v>36</v>
      </c>
      <c r="N35" s="12">
        <f>+L35*M35</f>
        <v>7146</v>
      </c>
    </row>
    <row r="36" spans="1:14" s="4" customFormat="1" ht="25.5">
      <c r="A36" s="9" t="s">
        <v>110</v>
      </c>
      <c r="B36" s="5">
        <v>422</v>
      </c>
      <c r="C36" s="10">
        <v>42837</v>
      </c>
      <c r="D36" s="5" t="str">
        <f>"0350120170800048500"</f>
        <v>0350120170800048500</v>
      </c>
      <c r="E36" s="10">
        <v>42769</v>
      </c>
      <c r="F36" s="5">
        <v>0</v>
      </c>
      <c r="G36" s="10">
        <v>42843</v>
      </c>
      <c r="H36" s="10">
        <v>42807</v>
      </c>
      <c r="I36" s="5" t="s">
        <v>228</v>
      </c>
      <c r="J36" s="5">
        <v>764.38</v>
      </c>
      <c r="K36" s="5">
        <v>69.49</v>
      </c>
      <c r="L36" s="5">
        <v>694.89</v>
      </c>
      <c r="M36" s="11">
        <f>+G36-H36</f>
        <v>36</v>
      </c>
      <c r="N36" s="12">
        <f>+L36*M36</f>
        <v>25016.04</v>
      </c>
    </row>
    <row r="37" spans="1:14" s="4" customFormat="1" ht="25.5">
      <c r="A37" s="9" t="s">
        <v>110</v>
      </c>
      <c r="B37" s="5">
        <v>420</v>
      </c>
      <c r="C37" s="10">
        <v>42837</v>
      </c>
      <c r="D37" s="5" t="str">
        <f>"0350120170800047400"</f>
        <v>0350120170800047400</v>
      </c>
      <c r="E37" s="10">
        <v>42769</v>
      </c>
      <c r="F37" s="5">
        <v>0</v>
      </c>
      <c r="G37" s="10">
        <v>42843</v>
      </c>
      <c r="H37" s="10">
        <v>42807</v>
      </c>
      <c r="I37" s="5" t="s">
        <v>228</v>
      </c>
      <c r="J37" s="5">
        <v>192.02</v>
      </c>
      <c r="K37" s="5">
        <v>17.46</v>
      </c>
      <c r="L37" s="5">
        <v>174.56</v>
      </c>
      <c r="M37" s="11">
        <f>+G37-H37</f>
        <v>36</v>
      </c>
      <c r="N37" s="12">
        <f>+L37*M37</f>
        <v>6284.16</v>
      </c>
    </row>
    <row r="38" spans="1:14" s="4" customFormat="1" ht="25.5">
      <c r="A38" s="9" t="s">
        <v>110</v>
      </c>
      <c r="B38" s="5">
        <v>423</v>
      </c>
      <c r="C38" s="10">
        <v>42837</v>
      </c>
      <c r="D38" s="5" t="str">
        <f>"0350120170800048100"</f>
        <v>0350120170800048100</v>
      </c>
      <c r="E38" s="10">
        <v>42769</v>
      </c>
      <c r="F38" s="5">
        <v>0</v>
      </c>
      <c r="G38" s="10">
        <v>42843</v>
      </c>
      <c r="H38" s="10">
        <v>42807</v>
      </c>
      <c r="I38" s="5" t="s">
        <v>228</v>
      </c>
      <c r="J38" s="5">
        <v>177.64</v>
      </c>
      <c r="K38" s="5">
        <v>16.15</v>
      </c>
      <c r="L38" s="5">
        <v>161.49</v>
      </c>
      <c r="M38" s="11">
        <f>+G38-H38</f>
        <v>36</v>
      </c>
      <c r="N38" s="12">
        <f>+L38*M38</f>
        <v>5813.64</v>
      </c>
    </row>
    <row r="39" spans="1:14" s="4" customFormat="1" ht="25.5">
      <c r="A39" s="9" t="s">
        <v>110</v>
      </c>
      <c r="B39" s="5">
        <v>415</v>
      </c>
      <c r="C39" s="10">
        <v>42837</v>
      </c>
      <c r="D39" s="5" t="str">
        <f>"0350120170800051200"</f>
        <v>0350120170800051200</v>
      </c>
      <c r="E39" s="10">
        <v>42769</v>
      </c>
      <c r="F39" s="5">
        <v>0</v>
      </c>
      <c r="G39" s="10">
        <v>42843</v>
      </c>
      <c r="H39" s="10">
        <v>42807</v>
      </c>
      <c r="I39" s="5" t="s">
        <v>228</v>
      </c>
      <c r="J39" s="5">
        <v>77.98</v>
      </c>
      <c r="K39" s="5">
        <v>7.09</v>
      </c>
      <c r="L39" s="5">
        <v>70.89</v>
      </c>
      <c r="M39" s="11">
        <f>+G39-H39</f>
        <v>36</v>
      </c>
      <c r="N39" s="12">
        <f>+L39*M39</f>
        <v>2552.04</v>
      </c>
    </row>
    <row r="40" spans="1:14" s="4" customFormat="1" ht="25.5">
      <c r="A40" s="9" t="s">
        <v>110</v>
      </c>
      <c r="B40" s="5">
        <v>417</v>
      </c>
      <c r="C40" s="10">
        <v>42837</v>
      </c>
      <c r="D40" s="5" t="str">
        <f>"0350120170800047300"</f>
        <v>0350120170800047300</v>
      </c>
      <c r="E40" s="10">
        <v>42769</v>
      </c>
      <c r="F40" s="5">
        <v>0</v>
      </c>
      <c r="G40" s="10">
        <v>42843</v>
      </c>
      <c r="H40" s="10">
        <v>42807</v>
      </c>
      <c r="I40" s="5" t="s">
        <v>228</v>
      </c>
      <c r="J40" s="5">
        <v>774.02</v>
      </c>
      <c r="K40" s="5">
        <v>70.37</v>
      </c>
      <c r="L40" s="5">
        <v>703.65</v>
      </c>
      <c r="M40" s="11">
        <f>+G40-H40</f>
        <v>36</v>
      </c>
      <c r="N40" s="12">
        <f>+L40*M40</f>
        <v>25331.399999999998</v>
      </c>
    </row>
    <row r="41" spans="1:14" s="4" customFormat="1" ht="25.5">
      <c r="A41" s="9" t="s">
        <v>110</v>
      </c>
      <c r="B41" s="5">
        <v>419</v>
      </c>
      <c r="C41" s="10">
        <v>42837</v>
      </c>
      <c r="D41" s="5" t="str">
        <f>"0350120170800048600"</f>
        <v>0350120170800048600</v>
      </c>
      <c r="E41" s="10">
        <v>42769</v>
      </c>
      <c r="F41" s="5">
        <v>0</v>
      </c>
      <c r="G41" s="10">
        <v>42843</v>
      </c>
      <c r="H41" s="10">
        <v>42807</v>
      </c>
      <c r="I41" s="5" t="s">
        <v>228</v>
      </c>
      <c r="J41" s="5">
        <v>778.22</v>
      </c>
      <c r="K41" s="5">
        <v>70.75</v>
      </c>
      <c r="L41" s="5">
        <v>707.47</v>
      </c>
      <c r="M41" s="11">
        <f>+G41-H41</f>
        <v>36</v>
      </c>
      <c r="N41" s="12">
        <f>+L41*M41</f>
        <v>25468.920000000002</v>
      </c>
    </row>
    <row r="42" spans="1:14" s="4" customFormat="1" ht="25.5">
      <c r="A42" s="9" t="s">
        <v>110</v>
      </c>
      <c r="B42" s="5">
        <v>416</v>
      </c>
      <c r="C42" s="10">
        <v>42837</v>
      </c>
      <c r="D42" s="5" t="str">
        <f>"0350120170800047200"</f>
        <v>0350120170800047200</v>
      </c>
      <c r="E42" s="10">
        <v>42769</v>
      </c>
      <c r="F42" s="5">
        <v>0</v>
      </c>
      <c r="G42" s="10">
        <v>42843</v>
      </c>
      <c r="H42" s="10">
        <v>42807</v>
      </c>
      <c r="I42" s="5" t="s">
        <v>228</v>
      </c>
      <c r="J42" s="5">
        <v>794.95</v>
      </c>
      <c r="K42" s="5">
        <v>72.27</v>
      </c>
      <c r="L42" s="5">
        <v>722.68</v>
      </c>
      <c r="M42" s="11">
        <f>+G42-H42</f>
        <v>36</v>
      </c>
      <c r="N42" s="12">
        <f>+L42*M42</f>
        <v>26016.48</v>
      </c>
    </row>
    <row r="43" spans="1:14" s="4" customFormat="1" ht="25.5">
      <c r="A43" s="9" t="s">
        <v>110</v>
      </c>
      <c r="B43" s="5">
        <v>418</v>
      </c>
      <c r="C43" s="10">
        <v>42837</v>
      </c>
      <c r="D43" s="5" t="str">
        <f>"0350120170800048700"</f>
        <v>0350120170800048700</v>
      </c>
      <c r="E43" s="10">
        <v>42769</v>
      </c>
      <c r="F43" s="5">
        <v>0</v>
      </c>
      <c r="G43" s="10">
        <v>42843</v>
      </c>
      <c r="H43" s="10">
        <v>42807</v>
      </c>
      <c r="I43" s="5" t="s">
        <v>228</v>
      </c>
      <c r="J43" s="5">
        <v>136.66</v>
      </c>
      <c r="K43" s="5">
        <v>12.42</v>
      </c>
      <c r="L43" s="5">
        <v>124.24</v>
      </c>
      <c r="M43" s="11">
        <f>+G43-H43</f>
        <v>36</v>
      </c>
      <c r="N43" s="12">
        <f>+L43*M43</f>
        <v>4472.639999999999</v>
      </c>
    </row>
    <row r="44" spans="1:14" s="4" customFormat="1" ht="25.5">
      <c r="A44" s="9" t="s">
        <v>110</v>
      </c>
      <c r="B44" s="5">
        <v>422</v>
      </c>
      <c r="C44" s="10">
        <v>42837</v>
      </c>
      <c r="D44" s="5" t="str">
        <f>"0350120170800047900"</f>
        <v>0350120170800047900</v>
      </c>
      <c r="E44" s="10">
        <v>42769</v>
      </c>
      <c r="F44" s="5">
        <v>0</v>
      </c>
      <c r="G44" s="10">
        <v>42843</v>
      </c>
      <c r="H44" s="10">
        <v>42807</v>
      </c>
      <c r="I44" s="5" t="s">
        <v>228</v>
      </c>
      <c r="J44" s="5">
        <v>71.05</v>
      </c>
      <c r="K44" s="5">
        <v>6.44</v>
      </c>
      <c r="L44" s="5">
        <v>64.61</v>
      </c>
      <c r="M44" s="11">
        <f>+G44-H44</f>
        <v>36</v>
      </c>
      <c r="N44" s="12">
        <f>+L44*M44</f>
        <v>2325.96</v>
      </c>
    </row>
    <row r="45" spans="1:14" s="4" customFormat="1" ht="25.5">
      <c r="A45" s="9" t="s">
        <v>110</v>
      </c>
      <c r="B45" s="5">
        <v>423</v>
      </c>
      <c r="C45" s="10">
        <v>42837</v>
      </c>
      <c r="D45" s="5" t="str">
        <f>"0350120170800047100"</f>
        <v>0350120170800047100</v>
      </c>
      <c r="E45" s="10">
        <v>42769</v>
      </c>
      <c r="F45" s="5">
        <v>0</v>
      </c>
      <c r="G45" s="10">
        <v>42843</v>
      </c>
      <c r="H45" s="10">
        <v>42807</v>
      </c>
      <c r="I45" s="5" t="s">
        <v>228</v>
      </c>
      <c r="J45" s="5">
        <v>70</v>
      </c>
      <c r="K45" s="5">
        <v>6.36</v>
      </c>
      <c r="L45" s="5">
        <v>63.64</v>
      </c>
      <c r="M45" s="11">
        <f>+G45-H45</f>
        <v>36</v>
      </c>
      <c r="N45" s="12">
        <f>+L45*M45</f>
        <v>2291.04</v>
      </c>
    </row>
    <row r="46" spans="1:14" s="4" customFormat="1" ht="25.5">
      <c r="A46" s="9" t="s">
        <v>110</v>
      </c>
      <c r="B46" s="5">
        <v>421</v>
      </c>
      <c r="C46" s="10">
        <v>42837</v>
      </c>
      <c r="D46" s="5" t="str">
        <f>"0350120170800047500"</f>
        <v>0350120170800047500</v>
      </c>
      <c r="E46" s="10">
        <v>42769</v>
      </c>
      <c r="F46" s="5">
        <v>0</v>
      </c>
      <c r="G46" s="10">
        <v>42843</v>
      </c>
      <c r="H46" s="10">
        <v>42807</v>
      </c>
      <c r="I46" s="5" t="s">
        <v>228</v>
      </c>
      <c r="J46" s="5">
        <v>20.97</v>
      </c>
      <c r="K46" s="5">
        <v>1.91</v>
      </c>
      <c r="L46" s="5">
        <v>19.06</v>
      </c>
      <c r="M46" s="11">
        <f>+G46-H46</f>
        <v>36</v>
      </c>
      <c r="N46" s="12">
        <f>+L46*M46</f>
        <v>686.16</v>
      </c>
    </row>
    <row r="47" spans="1:14" s="4" customFormat="1" ht="25.5">
      <c r="A47" s="9" t="s">
        <v>110</v>
      </c>
      <c r="B47" s="5">
        <v>423</v>
      </c>
      <c r="C47" s="10">
        <v>42837</v>
      </c>
      <c r="D47" s="5" t="str">
        <f>"0350120170800047800"</f>
        <v>0350120170800047800</v>
      </c>
      <c r="E47" s="10">
        <v>42769</v>
      </c>
      <c r="F47" s="5">
        <v>0</v>
      </c>
      <c r="G47" s="10">
        <v>42843</v>
      </c>
      <c r="H47" s="10">
        <v>42807</v>
      </c>
      <c r="I47" s="5" t="s">
        <v>228</v>
      </c>
      <c r="J47" s="5">
        <v>56.45</v>
      </c>
      <c r="K47" s="5">
        <v>5.13</v>
      </c>
      <c r="L47" s="5">
        <v>51.32</v>
      </c>
      <c r="M47" s="11">
        <f>+G47-H47</f>
        <v>36</v>
      </c>
      <c r="N47" s="12">
        <f>+L47*M47</f>
        <v>1847.52</v>
      </c>
    </row>
    <row r="48" spans="1:14" s="4" customFormat="1" ht="25.5">
      <c r="A48" s="9" t="s">
        <v>110</v>
      </c>
      <c r="B48" s="5">
        <v>423</v>
      </c>
      <c r="C48" s="10">
        <v>42837</v>
      </c>
      <c r="D48" s="5" t="str">
        <f>"0350120170800047000"</f>
        <v>0350120170800047000</v>
      </c>
      <c r="E48" s="10">
        <v>42769</v>
      </c>
      <c r="F48" s="5">
        <v>0</v>
      </c>
      <c r="G48" s="10">
        <v>42843</v>
      </c>
      <c r="H48" s="10">
        <v>42807</v>
      </c>
      <c r="I48" s="5" t="s">
        <v>228</v>
      </c>
      <c r="J48" s="5">
        <v>1.25</v>
      </c>
      <c r="K48" s="5">
        <v>0.11</v>
      </c>
      <c r="L48" s="5">
        <v>1.14</v>
      </c>
      <c r="M48" s="11">
        <f>+G48-H48</f>
        <v>36</v>
      </c>
      <c r="N48" s="12">
        <f>+L48*M48</f>
        <v>41.04</v>
      </c>
    </row>
    <row r="49" spans="1:16" s="4" customFormat="1" ht="25.5">
      <c r="A49" s="9" t="s">
        <v>110</v>
      </c>
      <c r="B49" s="5">
        <v>423</v>
      </c>
      <c r="C49" s="10">
        <v>42837</v>
      </c>
      <c r="D49" s="5" t="str">
        <f>"0350120170800048400"</f>
        <v>0350120170800048400</v>
      </c>
      <c r="E49" s="10">
        <v>42769</v>
      </c>
      <c r="F49" s="5">
        <v>0</v>
      </c>
      <c r="G49" s="10">
        <v>42843</v>
      </c>
      <c r="H49" s="10">
        <v>42807</v>
      </c>
      <c r="I49" s="5" t="s">
        <v>228</v>
      </c>
      <c r="J49" s="5">
        <v>1.39</v>
      </c>
      <c r="K49" s="5">
        <v>0.13</v>
      </c>
      <c r="L49" s="5">
        <v>1.26</v>
      </c>
      <c r="M49" s="11">
        <f>+G49-H49</f>
        <v>36</v>
      </c>
      <c r="N49" s="12">
        <f>+L49*M49</f>
        <v>45.36</v>
      </c>
      <c r="P49" s="15"/>
    </row>
    <row r="50" spans="1:14" s="4" customFormat="1" ht="12.75">
      <c r="A50" s="9" t="s">
        <v>114</v>
      </c>
      <c r="B50" s="5">
        <v>354</v>
      </c>
      <c r="C50" s="10">
        <v>42826</v>
      </c>
      <c r="D50" s="16" t="s">
        <v>115</v>
      </c>
      <c r="E50" s="10">
        <v>42710</v>
      </c>
      <c r="F50" s="5">
        <v>0</v>
      </c>
      <c r="G50" s="10">
        <v>42830</v>
      </c>
      <c r="H50" s="10">
        <v>42795</v>
      </c>
      <c r="I50" s="5" t="s">
        <v>228</v>
      </c>
      <c r="J50" s="5">
        <v>60.76</v>
      </c>
      <c r="K50" s="5">
        <v>10.96</v>
      </c>
      <c r="L50" s="5">
        <v>49.8</v>
      </c>
      <c r="M50" s="11">
        <f>+G50-H50</f>
        <v>35</v>
      </c>
      <c r="N50" s="12">
        <f>+L50*M50</f>
        <v>1743</v>
      </c>
    </row>
    <row r="51" spans="1:14" s="4" customFormat="1" ht="12.75">
      <c r="A51" s="9" t="s">
        <v>114</v>
      </c>
      <c r="B51" s="5">
        <v>359</v>
      </c>
      <c r="C51" s="10">
        <v>42826</v>
      </c>
      <c r="D51" s="16" t="s">
        <v>116</v>
      </c>
      <c r="E51" s="10">
        <v>42710</v>
      </c>
      <c r="F51" s="5">
        <v>0</v>
      </c>
      <c r="G51" s="10">
        <v>42830</v>
      </c>
      <c r="H51" s="10">
        <v>42795</v>
      </c>
      <c r="I51" s="5" t="s">
        <v>228</v>
      </c>
      <c r="J51" s="5">
        <v>64.98</v>
      </c>
      <c r="K51" s="5">
        <v>11.72</v>
      </c>
      <c r="L51" s="5">
        <v>53.26</v>
      </c>
      <c r="M51" s="11">
        <f>+G51-H51</f>
        <v>35</v>
      </c>
      <c r="N51" s="12">
        <f>+L51*M51</f>
        <v>1864.1</v>
      </c>
    </row>
    <row r="52" spans="1:14" s="4" customFormat="1" ht="12.75">
      <c r="A52" s="9" t="s">
        <v>114</v>
      </c>
      <c r="B52" s="5">
        <v>357</v>
      </c>
      <c r="C52" s="10">
        <v>42826</v>
      </c>
      <c r="D52" s="16" t="s">
        <v>117</v>
      </c>
      <c r="E52" s="10">
        <v>42710</v>
      </c>
      <c r="F52" s="5">
        <v>0</v>
      </c>
      <c r="G52" s="10">
        <v>42830</v>
      </c>
      <c r="H52" s="10">
        <v>42795</v>
      </c>
      <c r="I52" s="5" t="s">
        <v>228</v>
      </c>
      <c r="J52" s="5">
        <v>147.27</v>
      </c>
      <c r="K52" s="5">
        <v>26.56</v>
      </c>
      <c r="L52" s="5">
        <v>120.71</v>
      </c>
      <c r="M52" s="11">
        <f>+G52-H52</f>
        <v>35</v>
      </c>
      <c r="N52" s="12">
        <f>+L52*M52</f>
        <v>4224.849999999999</v>
      </c>
    </row>
    <row r="53" spans="1:14" s="4" customFormat="1" ht="12.75">
      <c r="A53" s="9" t="s">
        <v>114</v>
      </c>
      <c r="B53" s="5">
        <v>354</v>
      </c>
      <c r="C53" s="10">
        <v>42826</v>
      </c>
      <c r="D53" s="16" t="s">
        <v>118</v>
      </c>
      <c r="E53" s="10">
        <v>42710</v>
      </c>
      <c r="F53" s="5">
        <v>0</v>
      </c>
      <c r="G53" s="10">
        <v>42830</v>
      </c>
      <c r="H53" s="10">
        <v>42795</v>
      </c>
      <c r="I53" s="5" t="s">
        <v>228</v>
      </c>
      <c r="J53" s="5">
        <v>138.74</v>
      </c>
      <c r="K53" s="5">
        <v>25.02</v>
      </c>
      <c r="L53" s="5">
        <v>113.72</v>
      </c>
      <c r="M53" s="11">
        <f>+G53-H53</f>
        <v>35</v>
      </c>
      <c r="N53" s="12">
        <f>+L53*M53</f>
        <v>3980.2</v>
      </c>
    </row>
    <row r="54" spans="1:14" s="4" customFormat="1" ht="12.75">
      <c r="A54" s="9" t="s">
        <v>114</v>
      </c>
      <c r="B54" s="5">
        <v>355</v>
      </c>
      <c r="C54" s="10">
        <v>42826</v>
      </c>
      <c r="D54" s="16" t="s">
        <v>119</v>
      </c>
      <c r="E54" s="10">
        <v>42710</v>
      </c>
      <c r="F54" s="5">
        <v>0</v>
      </c>
      <c r="G54" s="10">
        <v>42830</v>
      </c>
      <c r="H54" s="10">
        <v>42795</v>
      </c>
      <c r="I54" s="5" t="s">
        <v>228</v>
      </c>
      <c r="J54" s="5">
        <v>147.55</v>
      </c>
      <c r="K54" s="5">
        <v>26.61</v>
      </c>
      <c r="L54" s="5">
        <v>120.94</v>
      </c>
      <c r="M54" s="11">
        <f>+G54-H54</f>
        <v>35</v>
      </c>
      <c r="N54" s="12">
        <f>+L54*M54</f>
        <v>4232.9</v>
      </c>
    </row>
    <row r="55" spans="1:14" s="4" customFormat="1" ht="12.75">
      <c r="A55" s="9" t="s">
        <v>114</v>
      </c>
      <c r="B55" s="5">
        <v>358</v>
      </c>
      <c r="C55" s="10">
        <v>42826</v>
      </c>
      <c r="D55" s="16" t="s">
        <v>120</v>
      </c>
      <c r="E55" s="10">
        <v>42710</v>
      </c>
      <c r="F55" s="5">
        <v>0</v>
      </c>
      <c r="G55" s="10">
        <v>42830</v>
      </c>
      <c r="H55" s="10">
        <v>42795</v>
      </c>
      <c r="I55" s="5" t="s">
        <v>228</v>
      </c>
      <c r="J55" s="5">
        <v>114.52</v>
      </c>
      <c r="K55" s="5">
        <v>20.65</v>
      </c>
      <c r="L55" s="5">
        <v>93.87</v>
      </c>
      <c r="M55" s="11">
        <f>+G55-H55</f>
        <v>35</v>
      </c>
      <c r="N55" s="12">
        <f>+L55*M55</f>
        <v>3285.4500000000003</v>
      </c>
    </row>
    <row r="56" spans="1:14" s="4" customFormat="1" ht="12.75">
      <c r="A56" s="9" t="s">
        <v>114</v>
      </c>
      <c r="B56" s="5">
        <v>354</v>
      </c>
      <c r="C56" s="10">
        <v>42826</v>
      </c>
      <c r="D56" s="16" t="s">
        <v>121</v>
      </c>
      <c r="E56" s="10">
        <v>42710</v>
      </c>
      <c r="F56" s="5">
        <v>0</v>
      </c>
      <c r="G56" s="10">
        <v>42830</v>
      </c>
      <c r="H56" s="10">
        <v>42795</v>
      </c>
      <c r="I56" s="5" t="s">
        <v>228</v>
      </c>
      <c r="J56" s="5">
        <v>61.52</v>
      </c>
      <c r="K56" s="5">
        <v>11.09</v>
      </c>
      <c r="L56" s="5">
        <v>50.43</v>
      </c>
      <c r="M56" s="11">
        <f>+G56-H56</f>
        <v>35</v>
      </c>
      <c r="N56" s="12">
        <f>+L56*M56</f>
        <v>1765.05</v>
      </c>
    </row>
    <row r="57" spans="1:14" s="4" customFormat="1" ht="12.75">
      <c r="A57" s="9" t="s">
        <v>114</v>
      </c>
      <c r="B57" s="5">
        <v>354</v>
      </c>
      <c r="C57" s="10">
        <v>42826</v>
      </c>
      <c r="D57" s="16" t="s">
        <v>122</v>
      </c>
      <c r="E57" s="10">
        <v>42710</v>
      </c>
      <c r="F57" s="5">
        <v>0</v>
      </c>
      <c r="G57" s="10">
        <v>42830</v>
      </c>
      <c r="H57" s="10">
        <v>42795</v>
      </c>
      <c r="I57" s="5" t="s">
        <v>228</v>
      </c>
      <c r="J57" s="5">
        <v>61.07</v>
      </c>
      <c r="K57" s="5">
        <v>11.01</v>
      </c>
      <c r="L57" s="5">
        <v>50.06</v>
      </c>
      <c r="M57" s="11">
        <f>+G57-H57</f>
        <v>35</v>
      </c>
      <c r="N57" s="12">
        <f>+L57*M57</f>
        <v>1752.1000000000001</v>
      </c>
    </row>
    <row r="58" spans="1:14" s="4" customFormat="1" ht="12.75">
      <c r="A58" s="9" t="s">
        <v>114</v>
      </c>
      <c r="B58" s="5">
        <v>354</v>
      </c>
      <c r="C58" s="10">
        <v>42826</v>
      </c>
      <c r="D58" s="16" t="s">
        <v>123</v>
      </c>
      <c r="E58" s="10">
        <v>42710</v>
      </c>
      <c r="F58" s="5">
        <v>0</v>
      </c>
      <c r="G58" s="10">
        <v>42830</v>
      </c>
      <c r="H58" s="10">
        <v>42795</v>
      </c>
      <c r="I58" s="5" t="s">
        <v>228</v>
      </c>
      <c r="J58" s="5">
        <v>318.21</v>
      </c>
      <c r="K58" s="5">
        <v>57.38</v>
      </c>
      <c r="L58" s="5">
        <v>260.83</v>
      </c>
      <c r="M58" s="11">
        <f>+G58-H58</f>
        <v>35</v>
      </c>
      <c r="N58" s="12">
        <f>+L58*M58</f>
        <v>9129.05</v>
      </c>
    </row>
    <row r="59" spans="1:14" s="4" customFormat="1" ht="12.75">
      <c r="A59" s="9" t="s">
        <v>114</v>
      </c>
      <c r="B59" s="5">
        <v>354</v>
      </c>
      <c r="C59" s="10">
        <v>42826</v>
      </c>
      <c r="D59" s="16" t="s">
        <v>124</v>
      </c>
      <c r="E59" s="10">
        <v>42710</v>
      </c>
      <c r="F59" s="5">
        <v>0</v>
      </c>
      <c r="G59" s="10">
        <v>42830</v>
      </c>
      <c r="H59" s="10">
        <v>42795</v>
      </c>
      <c r="I59" s="5" t="s">
        <v>228</v>
      </c>
      <c r="J59" s="5">
        <v>91.51</v>
      </c>
      <c r="K59" s="5">
        <v>16.5</v>
      </c>
      <c r="L59" s="5">
        <v>75.01</v>
      </c>
      <c r="M59" s="11">
        <f>+G59-H59</f>
        <v>35</v>
      </c>
      <c r="N59" s="12">
        <f>+L59*M59</f>
        <v>2625.3500000000004</v>
      </c>
    </row>
    <row r="60" spans="1:14" s="4" customFormat="1" ht="12.75">
      <c r="A60" s="9" t="s">
        <v>114</v>
      </c>
      <c r="B60" s="5">
        <v>354</v>
      </c>
      <c r="C60" s="10">
        <v>42826</v>
      </c>
      <c r="D60" s="16" t="s">
        <v>125</v>
      </c>
      <c r="E60" s="10">
        <v>42710</v>
      </c>
      <c r="F60" s="5">
        <v>0</v>
      </c>
      <c r="G60" s="10">
        <v>42830</v>
      </c>
      <c r="H60" s="10">
        <v>42795</v>
      </c>
      <c r="I60" s="5" t="s">
        <v>228</v>
      </c>
      <c r="J60" s="5">
        <v>128.47</v>
      </c>
      <c r="K60" s="5">
        <v>23.17</v>
      </c>
      <c r="L60" s="5">
        <v>105.3</v>
      </c>
      <c r="M60" s="11">
        <f>+G60-H60</f>
        <v>35</v>
      </c>
      <c r="N60" s="12">
        <f>+L60*M60</f>
        <v>3685.5</v>
      </c>
    </row>
    <row r="61" spans="1:14" s="4" customFormat="1" ht="12.75">
      <c r="A61" s="9" t="s">
        <v>114</v>
      </c>
      <c r="B61" s="5">
        <v>356</v>
      </c>
      <c r="C61" s="10">
        <v>42826</v>
      </c>
      <c r="D61" s="16" t="s">
        <v>126</v>
      </c>
      <c r="E61" s="10">
        <v>42710</v>
      </c>
      <c r="F61" s="5">
        <v>0</v>
      </c>
      <c r="G61" s="10">
        <v>42830</v>
      </c>
      <c r="H61" s="10">
        <v>42795</v>
      </c>
      <c r="I61" s="5" t="s">
        <v>228</v>
      </c>
      <c r="J61" s="5">
        <v>82.07</v>
      </c>
      <c r="K61" s="5">
        <v>14.8</v>
      </c>
      <c r="L61" s="5">
        <v>67.27</v>
      </c>
      <c r="M61" s="11">
        <f>+G61-H61</f>
        <v>35</v>
      </c>
      <c r="N61" s="12">
        <f>+L61*M61</f>
        <v>2354.45</v>
      </c>
    </row>
    <row r="62" spans="1:14" s="4" customFormat="1" ht="38.25">
      <c r="A62" s="9" t="s">
        <v>35</v>
      </c>
      <c r="B62" s="5">
        <v>340</v>
      </c>
      <c r="C62" s="10">
        <v>42826</v>
      </c>
      <c r="D62" s="5" t="s">
        <v>127</v>
      </c>
      <c r="E62" s="10">
        <v>42735</v>
      </c>
      <c r="F62" s="5">
        <v>0</v>
      </c>
      <c r="G62" s="10">
        <v>42830</v>
      </c>
      <c r="H62" s="10">
        <v>42795</v>
      </c>
      <c r="I62" s="5" t="s">
        <v>228</v>
      </c>
      <c r="J62" s="13">
        <v>4115.69</v>
      </c>
      <c r="K62" s="5">
        <v>195.99</v>
      </c>
      <c r="L62" s="13">
        <v>3919.7</v>
      </c>
      <c r="M62" s="11">
        <f>+G62-H62</f>
        <v>35</v>
      </c>
      <c r="N62" s="12">
        <f>+L62*M62</f>
        <v>137189.5</v>
      </c>
    </row>
    <row r="63" spans="1:14" s="4" customFormat="1" ht="12.75">
      <c r="A63" s="9" t="s">
        <v>231</v>
      </c>
      <c r="B63" s="5">
        <v>344</v>
      </c>
      <c r="C63" s="10">
        <v>42826</v>
      </c>
      <c r="D63" s="5" t="s">
        <v>96</v>
      </c>
      <c r="E63" s="10">
        <v>42767</v>
      </c>
      <c r="F63" s="5">
        <v>0</v>
      </c>
      <c r="G63" s="10">
        <v>42830</v>
      </c>
      <c r="H63" s="10">
        <v>42796</v>
      </c>
      <c r="I63" s="5" t="s">
        <v>228</v>
      </c>
      <c r="J63" s="5">
        <v>904.06</v>
      </c>
      <c r="K63" s="5">
        <v>163.03</v>
      </c>
      <c r="L63" s="5">
        <v>741.03</v>
      </c>
      <c r="M63" s="11">
        <f>+G63-H63</f>
        <v>34</v>
      </c>
      <c r="N63" s="12">
        <f>+L63*M63</f>
        <v>25195.02</v>
      </c>
    </row>
    <row r="64" spans="1:14" s="4" customFormat="1" ht="12.75">
      <c r="A64" s="9" t="s">
        <v>231</v>
      </c>
      <c r="B64" s="5">
        <v>350</v>
      </c>
      <c r="C64" s="10">
        <v>42826</v>
      </c>
      <c r="D64" s="5" t="s">
        <v>97</v>
      </c>
      <c r="E64" s="10">
        <v>42767</v>
      </c>
      <c r="F64" s="5">
        <v>0</v>
      </c>
      <c r="G64" s="10">
        <v>42830</v>
      </c>
      <c r="H64" s="10">
        <v>42796</v>
      </c>
      <c r="I64" s="5" t="s">
        <v>228</v>
      </c>
      <c r="J64" s="5">
        <v>516.27</v>
      </c>
      <c r="K64" s="5">
        <v>93.1</v>
      </c>
      <c r="L64" s="5">
        <v>423.17</v>
      </c>
      <c r="M64" s="11">
        <f>+G64-H64</f>
        <v>34</v>
      </c>
      <c r="N64" s="12">
        <f>+L64*M64</f>
        <v>14387.78</v>
      </c>
    </row>
    <row r="65" spans="1:14" s="4" customFormat="1" ht="12.75">
      <c r="A65" s="9" t="s">
        <v>231</v>
      </c>
      <c r="B65" s="5">
        <v>352</v>
      </c>
      <c r="C65" s="10">
        <v>42826</v>
      </c>
      <c r="D65" s="5" t="s">
        <v>98</v>
      </c>
      <c r="E65" s="10">
        <v>42767</v>
      </c>
      <c r="F65" s="5">
        <v>0</v>
      </c>
      <c r="G65" s="10">
        <v>42830</v>
      </c>
      <c r="H65" s="10">
        <v>42796</v>
      </c>
      <c r="I65" s="5" t="s">
        <v>228</v>
      </c>
      <c r="J65" s="13">
        <v>2811.82</v>
      </c>
      <c r="K65" s="5">
        <v>507.05</v>
      </c>
      <c r="L65" s="13">
        <v>2304.77</v>
      </c>
      <c r="M65" s="11">
        <f>+G65-H65</f>
        <v>34</v>
      </c>
      <c r="N65" s="12">
        <f>+L65*M65</f>
        <v>78362.18</v>
      </c>
    </row>
    <row r="66" spans="1:14" s="4" customFormat="1" ht="12.75">
      <c r="A66" s="9" t="s">
        <v>231</v>
      </c>
      <c r="B66" s="5">
        <v>348</v>
      </c>
      <c r="C66" s="10">
        <v>42826</v>
      </c>
      <c r="D66" s="5" t="s">
        <v>99</v>
      </c>
      <c r="E66" s="10">
        <v>42767</v>
      </c>
      <c r="F66" s="5">
        <v>0</v>
      </c>
      <c r="G66" s="10">
        <v>42830</v>
      </c>
      <c r="H66" s="10">
        <v>42796</v>
      </c>
      <c r="I66" s="5" t="s">
        <v>228</v>
      </c>
      <c r="J66" s="5">
        <v>382.01</v>
      </c>
      <c r="K66" s="5">
        <v>68.89</v>
      </c>
      <c r="L66" s="5">
        <v>313.12</v>
      </c>
      <c r="M66" s="11">
        <f>+G66-H66</f>
        <v>34</v>
      </c>
      <c r="N66" s="12">
        <f>+L66*M66</f>
        <v>10646.08</v>
      </c>
    </row>
    <row r="67" spans="1:14" s="4" customFormat="1" ht="12.75">
      <c r="A67" s="9" t="s">
        <v>231</v>
      </c>
      <c r="B67" s="5">
        <v>347</v>
      </c>
      <c r="C67" s="10">
        <v>42826</v>
      </c>
      <c r="D67" s="5" t="s">
        <v>100</v>
      </c>
      <c r="E67" s="10">
        <v>42767</v>
      </c>
      <c r="F67" s="5">
        <v>0</v>
      </c>
      <c r="G67" s="10">
        <v>42830</v>
      </c>
      <c r="H67" s="10">
        <v>42796</v>
      </c>
      <c r="I67" s="5" t="s">
        <v>228</v>
      </c>
      <c r="J67" s="13">
        <v>1524.05</v>
      </c>
      <c r="K67" s="5">
        <v>274.83</v>
      </c>
      <c r="L67" s="13">
        <v>1249.22</v>
      </c>
      <c r="M67" s="11">
        <f>+G67-H67</f>
        <v>34</v>
      </c>
      <c r="N67" s="12">
        <f aca="true" t="shared" si="0" ref="N67:N130">+L67*M67</f>
        <v>42473.48</v>
      </c>
    </row>
    <row r="68" spans="1:14" s="4" customFormat="1" ht="12.75">
      <c r="A68" s="9" t="s">
        <v>231</v>
      </c>
      <c r="B68" s="5">
        <v>342</v>
      </c>
      <c r="C68" s="10">
        <v>42826</v>
      </c>
      <c r="D68" s="5" t="s">
        <v>101</v>
      </c>
      <c r="E68" s="10">
        <v>42767</v>
      </c>
      <c r="F68" s="5">
        <v>0</v>
      </c>
      <c r="G68" s="10">
        <v>42830</v>
      </c>
      <c r="H68" s="10">
        <v>42796</v>
      </c>
      <c r="I68" s="5" t="s">
        <v>228</v>
      </c>
      <c r="J68" s="13">
        <v>1074.23</v>
      </c>
      <c r="K68" s="5">
        <v>193.71</v>
      </c>
      <c r="L68" s="5">
        <v>880.52</v>
      </c>
      <c r="M68" s="11">
        <f>+G68-H68</f>
        <v>34</v>
      </c>
      <c r="N68" s="12">
        <f t="shared" si="0"/>
        <v>29937.68</v>
      </c>
    </row>
    <row r="69" spans="1:14" s="4" customFormat="1" ht="12.75">
      <c r="A69" s="9" t="s">
        <v>231</v>
      </c>
      <c r="B69" s="5">
        <v>351</v>
      </c>
      <c r="C69" s="10">
        <v>42826</v>
      </c>
      <c r="D69" s="5" t="s">
        <v>102</v>
      </c>
      <c r="E69" s="10">
        <v>42767</v>
      </c>
      <c r="F69" s="5">
        <v>0</v>
      </c>
      <c r="G69" s="10">
        <v>42830</v>
      </c>
      <c r="H69" s="10">
        <v>42796</v>
      </c>
      <c r="I69" s="5" t="s">
        <v>228</v>
      </c>
      <c r="J69" s="5">
        <v>539.76</v>
      </c>
      <c r="K69" s="5">
        <v>97.33</v>
      </c>
      <c r="L69" s="5">
        <v>442.43</v>
      </c>
      <c r="M69" s="11">
        <f>+G69-H69</f>
        <v>34</v>
      </c>
      <c r="N69" s="12">
        <f t="shared" si="0"/>
        <v>15042.62</v>
      </c>
    </row>
    <row r="70" spans="1:14" s="4" customFormat="1" ht="12.75">
      <c r="A70" s="9" t="s">
        <v>231</v>
      </c>
      <c r="B70" s="5">
        <v>346</v>
      </c>
      <c r="C70" s="10">
        <v>42826</v>
      </c>
      <c r="D70" s="5" t="s">
        <v>103</v>
      </c>
      <c r="E70" s="10">
        <v>42767</v>
      </c>
      <c r="F70" s="5">
        <v>0</v>
      </c>
      <c r="G70" s="10">
        <v>42830</v>
      </c>
      <c r="H70" s="10">
        <v>42796</v>
      </c>
      <c r="I70" s="5" t="s">
        <v>228</v>
      </c>
      <c r="J70" s="13">
        <v>1448.16</v>
      </c>
      <c r="K70" s="5">
        <v>261.14</v>
      </c>
      <c r="L70" s="13">
        <v>1187.02</v>
      </c>
      <c r="M70" s="11">
        <f>+G70-H70</f>
        <v>34</v>
      </c>
      <c r="N70" s="12">
        <f t="shared" si="0"/>
        <v>40358.68</v>
      </c>
    </row>
    <row r="71" spans="1:14" s="4" customFormat="1" ht="12.75">
      <c r="A71" s="9" t="s">
        <v>231</v>
      </c>
      <c r="B71" s="5">
        <v>343</v>
      </c>
      <c r="C71" s="10">
        <v>42826</v>
      </c>
      <c r="D71" s="5" t="s">
        <v>104</v>
      </c>
      <c r="E71" s="10">
        <v>42767</v>
      </c>
      <c r="F71" s="5">
        <v>0</v>
      </c>
      <c r="G71" s="10">
        <v>42830</v>
      </c>
      <c r="H71" s="10">
        <v>42796</v>
      </c>
      <c r="I71" s="5" t="s">
        <v>228</v>
      </c>
      <c r="J71" s="5">
        <v>291.15</v>
      </c>
      <c r="K71" s="5">
        <v>52.5</v>
      </c>
      <c r="L71" s="5">
        <v>238.65</v>
      </c>
      <c r="M71" s="11">
        <f>+G71-H71</f>
        <v>34</v>
      </c>
      <c r="N71" s="12">
        <f t="shared" si="0"/>
        <v>8114.1</v>
      </c>
    </row>
    <row r="72" spans="1:14" s="4" customFormat="1" ht="12.75">
      <c r="A72" s="9" t="s">
        <v>231</v>
      </c>
      <c r="B72" s="5">
        <v>349</v>
      </c>
      <c r="C72" s="10">
        <v>42826</v>
      </c>
      <c r="D72" s="5" t="s">
        <v>105</v>
      </c>
      <c r="E72" s="10">
        <v>42767</v>
      </c>
      <c r="F72" s="5">
        <v>0</v>
      </c>
      <c r="G72" s="10">
        <v>42830</v>
      </c>
      <c r="H72" s="10">
        <v>42796</v>
      </c>
      <c r="I72" s="5" t="s">
        <v>228</v>
      </c>
      <c r="J72" s="5">
        <v>264.19</v>
      </c>
      <c r="K72" s="5">
        <v>47.64</v>
      </c>
      <c r="L72" s="5">
        <v>216.55</v>
      </c>
      <c r="M72" s="11">
        <f>+G72-H72</f>
        <v>34</v>
      </c>
      <c r="N72" s="12">
        <f t="shared" si="0"/>
        <v>7362.700000000001</v>
      </c>
    </row>
    <row r="73" spans="1:14" s="4" customFormat="1" ht="12.75">
      <c r="A73" s="9" t="s">
        <v>231</v>
      </c>
      <c r="B73" s="5">
        <v>345</v>
      </c>
      <c r="C73" s="10">
        <v>42826</v>
      </c>
      <c r="D73" s="5" t="s">
        <v>106</v>
      </c>
      <c r="E73" s="10">
        <v>42767</v>
      </c>
      <c r="F73" s="5">
        <v>0</v>
      </c>
      <c r="G73" s="10">
        <v>42830</v>
      </c>
      <c r="H73" s="10">
        <v>42796</v>
      </c>
      <c r="I73" s="5" t="s">
        <v>228</v>
      </c>
      <c r="J73" s="13">
        <v>1483.74</v>
      </c>
      <c r="K73" s="5">
        <v>267.56</v>
      </c>
      <c r="L73" s="13">
        <v>1216.18</v>
      </c>
      <c r="M73" s="11">
        <f>+G73-H73</f>
        <v>34</v>
      </c>
      <c r="N73" s="12">
        <f t="shared" si="0"/>
        <v>41350.12</v>
      </c>
    </row>
    <row r="74" spans="1:14" s="4" customFormat="1" ht="38.25">
      <c r="A74" s="9" t="s">
        <v>25</v>
      </c>
      <c r="B74" s="5">
        <v>414</v>
      </c>
      <c r="C74" s="10">
        <v>42837</v>
      </c>
      <c r="D74" s="5" t="str">
        <f>"8017029488"</f>
        <v>8017029488</v>
      </c>
      <c r="E74" s="10">
        <v>42779</v>
      </c>
      <c r="F74" s="5">
        <v>0</v>
      </c>
      <c r="G74" s="10">
        <v>42843</v>
      </c>
      <c r="H74" s="10">
        <v>42809</v>
      </c>
      <c r="I74" s="5" t="s">
        <v>26</v>
      </c>
      <c r="J74" s="5">
        <v>23.73</v>
      </c>
      <c r="K74" s="5">
        <v>23.73</v>
      </c>
      <c r="L74" s="5">
        <v>0</v>
      </c>
      <c r="M74" s="11">
        <f>+G74-H74</f>
        <v>34</v>
      </c>
      <c r="N74" s="12">
        <f t="shared" si="0"/>
        <v>0</v>
      </c>
    </row>
    <row r="75" spans="1:14" s="4" customFormat="1" ht="25.5">
      <c r="A75" s="9" t="s">
        <v>90</v>
      </c>
      <c r="B75" s="5">
        <v>703</v>
      </c>
      <c r="C75" s="10">
        <v>42868</v>
      </c>
      <c r="D75" s="5" t="str">
        <f>"0052500844"</f>
        <v>0052500844</v>
      </c>
      <c r="E75" s="10">
        <v>42759</v>
      </c>
      <c r="F75" s="5">
        <v>0</v>
      </c>
      <c r="G75" s="10">
        <v>42868</v>
      </c>
      <c r="H75" s="10">
        <v>42839</v>
      </c>
      <c r="I75" s="5" t="s">
        <v>228</v>
      </c>
      <c r="J75" s="5">
        <v>713.7</v>
      </c>
      <c r="K75" s="5">
        <v>128.7</v>
      </c>
      <c r="L75" s="5">
        <v>585</v>
      </c>
      <c r="M75" s="11">
        <f>+G75-H75</f>
        <v>29</v>
      </c>
      <c r="N75" s="12">
        <f t="shared" si="0"/>
        <v>16965</v>
      </c>
    </row>
    <row r="76" spans="1:14" s="4" customFormat="1" ht="12.75">
      <c r="A76" s="9" t="s">
        <v>227</v>
      </c>
      <c r="B76" s="5">
        <v>767</v>
      </c>
      <c r="C76" s="10">
        <v>42877</v>
      </c>
      <c r="D76" s="5" t="str">
        <f>"41700923524"</f>
        <v>41700923524</v>
      </c>
      <c r="E76" s="10">
        <v>42816</v>
      </c>
      <c r="F76" s="5">
        <v>0</v>
      </c>
      <c r="G76" s="10">
        <v>42878</v>
      </c>
      <c r="H76" s="10">
        <v>42851</v>
      </c>
      <c r="I76" s="5" t="s">
        <v>228</v>
      </c>
      <c r="J76" s="5">
        <v>31.46</v>
      </c>
      <c r="K76" s="5">
        <v>3.78</v>
      </c>
      <c r="L76" s="5">
        <v>27.68</v>
      </c>
      <c r="M76" s="11">
        <f>+G76-H76</f>
        <v>27</v>
      </c>
      <c r="N76" s="12">
        <f t="shared" si="0"/>
        <v>747.36</v>
      </c>
    </row>
    <row r="77" spans="1:14" s="4" customFormat="1" ht="12.75">
      <c r="A77" s="9" t="s">
        <v>227</v>
      </c>
      <c r="B77" s="5">
        <v>799</v>
      </c>
      <c r="C77" s="10">
        <v>42878</v>
      </c>
      <c r="D77" s="5" t="str">
        <f>"41700923513"</f>
        <v>41700923513</v>
      </c>
      <c r="E77" s="10">
        <v>42816</v>
      </c>
      <c r="F77" s="5">
        <v>0</v>
      </c>
      <c r="G77" s="10">
        <v>42878</v>
      </c>
      <c r="H77" s="10">
        <v>42851</v>
      </c>
      <c r="I77" s="5" t="s">
        <v>228</v>
      </c>
      <c r="J77" s="13">
        <v>1208</v>
      </c>
      <c r="K77" s="5">
        <v>217.84</v>
      </c>
      <c r="L77" s="5">
        <v>990.16</v>
      </c>
      <c r="M77" s="11">
        <f>+G77-H77</f>
        <v>27</v>
      </c>
      <c r="N77" s="12">
        <f t="shared" si="0"/>
        <v>26734.32</v>
      </c>
    </row>
    <row r="78" spans="1:14" s="4" customFormat="1" ht="12.75">
      <c r="A78" s="9" t="s">
        <v>227</v>
      </c>
      <c r="B78" s="5">
        <v>772</v>
      </c>
      <c r="C78" s="10">
        <v>42877</v>
      </c>
      <c r="D78" s="5" t="str">
        <f>"41700923522"</f>
        <v>41700923522</v>
      </c>
      <c r="E78" s="10">
        <v>42816</v>
      </c>
      <c r="F78" s="5">
        <v>0</v>
      </c>
      <c r="G78" s="10">
        <v>42878</v>
      </c>
      <c r="H78" s="10">
        <v>42851</v>
      </c>
      <c r="I78" s="5" t="s">
        <v>228</v>
      </c>
      <c r="J78" s="13">
        <v>1416.88</v>
      </c>
      <c r="K78" s="5">
        <v>255.5</v>
      </c>
      <c r="L78" s="13">
        <v>1161.38</v>
      </c>
      <c r="M78" s="11">
        <f>+G78-H78</f>
        <v>27</v>
      </c>
      <c r="N78" s="12">
        <f t="shared" si="0"/>
        <v>31357.260000000002</v>
      </c>
    </row>
    <row r="79" spans="1:14" s="4" customFormat="1" ht="12.75">
      <c r="A79" s="9" t="s">
        <v>227</v>
      </c>
      <c r="B79" s="5">
        <v>766</v>
      </c>
      <c r="C79" s="10">
        <v>42877</v>
      </c>
      <c r="D79" s="5" t="str">
        <f>"41700923520"</f>
        <v>41700923520</v>
      </c>
      <c r="E79" s="10">
        <v>42816</v>
      </c>
      <c r="F79" s="5">
        <v>0</v>
      </c>
      <c r="G79" s="10">
        <v>42878</v>
      </c>
      <c r="H79" s="10">
        <v>42851</v>
      </c>
      <c r="I79" s="5" t="s">
        <v>228</v>
      </c>
      <c r="J79" s="5">
        <v>10.26</v>
      </c>
      <c r="K79" s="5">
        <v>1.85</v>
      </c>
      <c r="L79" s="5">
        <v>8.41</v>
      </c>
      <c r="M79" s="11">
        <f>+G79-H79</f>
        <v>27</v>
      </c>
      <c r="N79" s="12">
        <f t="shared" si="0"/>
        <v>227.07</v>
      </c>
    </row>
    <row r="80" spans="1:14" s="4" customFormat="1" ht="12.75">
      <c r="A80" s="9" t="s">
        <v>227</v>
      </c>
      <c r="B80" s="5">
        <v>770</v>
      </c>
      <c r="C80" s="10">
        <v>42877</v>
      </c>
      <c r="D80" s="5" t="str">
        <f>"41700923518"</f>
        <v>41700923518</v>
      </c>
      <c r="E80" s="10">
        <v>42816</v>
      </c>
      <c r="F80" s="5">
        <v>0</v>
      </c>
      <c r="G80" s="10">
        <v>42878</v>
      </c>
      <c r="H80" s="10">
        <v>42851</v>
      </c>
      <c r="I80" s="5" t="s">
        <v>228</v>
      </c>
      <c r="J80" s="13">
        <v>1570.08</v>
      </c>
      <c r="K80" s="5">
        <v>283.13</v>
      </c>
      <c r="L80" s="13">
        <v>1286.95</v>
      </c>
      <c r="M80" s="11">
        <f>+G80-H80</f>
        <v>27</v>
      </c>
      <c r="N80" s="12">
        <f t="shared" si="0"/>
        <v>34747.65</v>
      </c>
    </row>
    <row r="81" spans="1:14" s="4" customFormat="1" ht="12.75">
      <c r="A81" s="9" t="s">
        <v>227</v>
      </c>
      <c r="B81" s="5">
        <v>768</v>
      </c>
      <c r="C81" s="10">
        <v>42877</v>
      </c>
      <c r="D81" s="5" t="str">
        <f>"41700923519"</f>
        <v>41700923519</v>
      </c>
      <c r="E81" s="10">
        <v>42816</v>
      </c>
      <c r="F81" s="5">
        <v>0</v>
      </c>
      <c r="G81" s="10">
        <v>42878</v>
      </c>
      <c r="H81" s="10">
        <v>42851</v>
      </c>
      <c r="I81" s="5" t="s">
        <v>228</v>
      </c>
      <c r="J81" s="13">
        <v>5266.95</v>
      </c>
      <c r="K81" s="5">
        <v>949.78</v>
      </c>
      <c r="L81" s="13">
        <v>4317.17</v>
      </c>
      <c r="M81" s="11">
        <f>+G81-H81</f>
        <v>27</v>
      </c>
      <c r="N81" s="12">
        <f t="shared" si="0"/>
        <v>116563.59</v>
      </c>
    </row>
    <row r="82" spans="1:14" s="4" customFormat="1" ht="12.75">
      <c r="A82" s="9" t="s">
        <v>227</v>
      </c>
      <c r="B82" s="5">
        <v>764</v>
      </c>
      <c r="C82" s="10">
        <v>42877</v>
      </c>
      <c r="D82" s="5" t="str">
        <f>"41700923521"</f>
        <v>41700923521</v>
      </c>
      <c r="E82" s="10">
        <v>42816</v>
      </c>
      <c r="F82" s="5">
        <v>0</v>
      </c>
      <c r="G82" s="10">
        <v>42878</v>
      </c>
      <c r="H82" s="10">
        <v>42851</v>
      </c>
      <c r="I82" s="5" t="s">
        <v>228</v>
      </c>
      <c r="J82" s="5">
        <v>169.34</v>
      </c>
      <c r="K82" s="5">
        <v>19.16</v>
      </c>
      <c r="L82" s="5">
        <v>150.18</v>
      </c>
      <c r="M82" s="11">
        <f>+G82-H82</f>
        <v>27</v>
      </c>
      <c r="N82" s="12">
        <f t="shared" si="0"/>
        <v>4054.86</v>
      </c>
    </row>
    <row r="83" spans="1:14" s="4" customFormat="1" ht="12.75">
      <c r="A83" s="9" t="s">
        <v>227</v>
      </c>
      <c r="B83" s="5">
        <v>765</v>
      </c>
      <c r="C83" s="10">
        <v>42877</v>
      </c>
      <c r="D83" s="5" t="str">
        <f>"41700923515"</f>
        <v>41700923515</v>
      </c>
      <c r="E83" s="10">
        <v>42816</v>
      </c>
      <c r="F83" s="5">
        <v>0</v>
      </c>
      <c r="G83" s="10">
        <v>42878</v>
      </c>
      <c r="H83" s="10">
        <v>42851</v>
      </c>
      <c r="I83" s="5" t="s">
        <v>228</v>
      </c>
      <c r="J83" s="5">
        <v>58.8</v>
      </c>
      <c r="K83" s="5">
        <v>6.26</v>
      </c>
      <c r="L83" s="5">
        <v>52.54</v>
      </c>
      <c r="M83" s="11">
        <f>+G83-H83</f>
        <v>27</v>
      </c>
      <c r="N83" s="12">
        <f t="shared" si="0"/>
        <v>1418.58</v>
      </c>
    </row>
    <row r="84" spans="1:14" s="4" customFormat="1" ht="12.75">
      <c r="A84" s="9" t="s">
        <v>227</v>
      </c>
      <c r="B84" s="5">
        <v>763</v>
      </c>
      <c r="C84" s="10">
        <v>42877</v>
      </c>
      <c r="D84" s="5" t="str">
        <f>"41700923517"</f>
        <v>41700923517</v>
      </c>
      <c r="E84" s="10">
        <v>42816</v>
      </c>
      <c r="F84" s="5">
        <v>0</v>
      </c>
      <c r="G84" s="10">
        <v>42878</v>
      </c>
      <c r="H84" s="10">
        <v>42851</v>
      </c>
      <c r="I84" s="5" t="s">
        <v>228</v>
      </c>
      <c r="J84" s="5">
        <v>10.26</v>
      </c>
      <c r="K84" s="5">
        <v>1.85</v>
      </c>
      <c r="L84" s="5">
        <v>8.41</v>
      </c>
      <c r="M84" s="11">
        <f>+G84-H84</f>
        <v>27</v>
      </c>
      <c r="N84" s="12">
        <f t="shared" si="0"/>
        <v>227.07</v>
      </c>
    </row>
    <row r="85" spans="1:14" s="4" customFormat="1" ht="12.75">
      <c r="A85" s="9" t="s">
        <v>227</v>
      </c>
      <c r="B85" s="5">
        <v>773</v>
      </c>
      <c r="C85" s="10">
        <v>42877</v>
      </c>
      <c r="D85" s="5" t="str">
        <f>"41700923523"</f>
        <v>41700923523</v>
      </c>
      <c r="E85" s="10">
        <v>42816</v>
      </c>
      <c r="F85" s="5">
        <v>0</v>
      </c>
      <c r="G85" s="10">
        <v>42878</v>
      </c>
      <c r="H85" s="10">
        <v>42851</v>
      </c>
      <c r="I85" s="5" t="s">
        <v>228</v>
      </c>
      <c r="J85" s="5">
        <v>21.08</v>
      </c>
      <c r="K85" s="5">
        <v>2.83</v>
      </c>
      <c r="L85" s="5">
        <v>18.25</v>
      </c>
      <c r="M85" s="11">
        <f>+G85-H85</f>
        <v>27</v>
      </c>
      <c r="N85" s="12">
        <f t="shared" si="0"/>
        <v>492.75</v>
      </c>
    </row>
    <row r="86" spans="1:14" s="4" customFormat="1" ht="12.75">
      <c r="A86" s="9" t="s">
        <v>227</v>
      </c>
      <c r="B86" s="5">
        <v>769</v>
      </c>
      <c r="C86" s="10">
        <v>42877</v>
      </c>
      <c r="D86" s="5" t="str">
        <f>"41700923516"</f>
        <v>41700923516</v>
      </c>
      <c r="E86" s="10">
        <v>42816</v>
      </c>
      <c r="F86" s="5">
        <v>0</v>
      </c>
      <c r="G86" s="10">
        <v>42878</v>
      </c>
      <c r="H86" s="10">
        <v>42851</v>
      </c>
      <c r="I86" s="5" t="s">
        <v>228</v>
      </c>
      <c r="J86" s="13">
        <v>1440.33</v>
      </c>
      <c r="K86" s="5">
        <v>259.73</v>
      </c>
      <c r="L86" s="13">
        <v>1180.6</v>
      </c>
      <c r="M86" s="11">
        <f>+G86-H86</f>
        <v>27</v>
      </c>
      <c r="N86" s="12">
        <f t="shared" si="0"/>
        <v>31876.199999999997</v>
      </c>
    </row>
    <row r="87" spans="1:14" s="4" customFormat="1" ht="12.75">
      <c r="A87" s="9" t="s">
        <v>227</v>
      </c>
      <c r="B87" s="5">
        <v>771</v>
      </c>
      <c r="C87" s="10">
        <v>42877</v>
      </c>
      <c r="D87" s="5" t="str">
        <f>"41700923514"</f>
        <v>41700923514</v>
      </c>
      <c r="E87" s="10">
        <v>42816</v>
      </c>
      <c r="F87" s="5">
        <v>0</v>
      </c>
      <c r="G87" s="10">
        <v>42878</v>
      </c>
      <c r="H87" s="10">
        <v>42851</v>
      </c>
      <c r="I87" s="5" t="s">
        <v>228</v>
      </c>
      <c r="J87" s="13">
        <v>2365.58</v>
      </c>
      <c r="K87" s="5">
        <v>426.58</v>
      </c>
      <c r="L87" s="13">
        <v>1939</v>
      </c>
      <c r="M87" s="11">
        <f>+G87-H87</f>
        <v>27</v>
      </c>
      <c r="N87" s="12">
        <f t="shared" si="0"/>
        <v>52353</v>
      </c>
    </row>
    <row r="88" spans="1:14" s="4" customFormat="1" ht="12.75">
      <c r="A88" s="9" t="s">
        <v>91</v>
      </c>
      <c r="B88" s="5">
        <v>426</v>
      </c>
      <c r="C88" s="10">
        <v>42837</v>
      </c>
      <c r="D88" s="5" t="s">
        <v>230</v>
      </c>
      <c r="E88" s="10">
        <v>42815</v>
      </c>
      <c r="F88" s="5">
        <v>0</v>
      </c>
      <c r="G88" s="10">
        <v>42843</v>
      </c>
      <c r="H88" s="10">
        <v>42816</v>
      </c>
      <c r="I88" s="5" t="s">
        <v>228</v>
      </c>
      <c r="J88" s="13">
        <v>2497.95</v>
      </c>
      <c r="K88" s="5">
        <v>0</v>
      </c>
      <c r="L88" s="13">
        <v>2497.95</v>
      </c>
      <c r="M88" s="11">
        <f>+G88-H88</f>
        <v>27</v>
      </c>
      <c r="N88" s="12">
        <f t="shared" si="0"/>
        <v>67444.65</v>
      </c>
    </row>
    <row r="89" spans="1:14" s="4" customFormat="1" ht="38.25">
      <c r="A89" s="9" t="s">
        <v>25</v>
      </c>
      <c r="B89" s="5">
        <v>925</v>
      </c>
      <c r="C89" s="10">
        <v>42900</v>
      </c>
      <c r="D89" s="5" t="str">
        <f>"8017073861"</f>
        <v>8017073861</v>
      </c>
      <c r="E89" s="10">
        <v>42846</v>
      </c>
      <c r="F89" s="5">
        <v>0</v>
      </c>
      <c r="G89" s="10">
        <v>42900</v>
      </c>
      <c r="H89" s="10">
        <v>42876</v>
      </c>
      <c r="I89" s="5" t="s">
        <v>26</v>
      </c>
      <c r="J89" s="5">
        <v>5.91</v>
      </c>
      <c r="K89" s="5">
        <v>5.91</v>
      </c>
      <c r="L89" s="5">
        <v>0</v>
      </c>
      <c r="M89" s="11">
        <f>+G89-H89</f>
        <v>24</v>
      </c>
      <c r="N89" s="12">
        <f t="shared" si="0"/>
        <v>0</v>
      </c>
    </row>
    <row r="90" spans="1:14" s="4" customFormat="1" ht="38.25">
      <c r="A90" s="9" t="s">
        <v>92</v>
      </c>
      <c r="B90" s="5">
        <v>398</v>
      </c>
      <c r="C90" s="10">
        <v>42829</v>
      </c>
      <c r="D90" s="5" t="s">
        <v>93</v>
      </c>
      <c r="E90" s="10">
        <v>42750</v>
      </c>
      <c r="F90" s="5">
        <v>0</v>
      </c>
      <c r="G90" s="10">
        <v>42830</v>
      </c>
      <c r="H90" s="10">
        <v>42809</v>
      </c>
      <c r="I90" s="5" t="s">
        <v>228</v>
      </c>
      <c r="J90" s="5">
        <v>898.56</v>
      </c>
      <c r="K90" s="5">
        <v>34.56</v>
      </c>
      <c r="L90" s="5">
        <v>864</v>
      </c>
      <c r="M90" s="11">
        <f>+G90-H90</f>
        <v>21</v>
      </c>
      <c r="N90" s="12">
        <f t="shared" si="0"/>
        <v>18144</v>
      </c>
    </row>
    <row r="91" spans="1:14" s="4" customFormat="1" ht="12.75">
      <c r="A91" s="9" t="s">
        <v>231</v>
      </c>
      <c r="B91" s="5">
        <v>737</v>
      </c>
      <c r="C91" s="10">
        <v>42875</v>
      </c>
      <c r="D91" s="5" t="s">
        <v>128</v>
      </c>
      <c r="E91" s="10">
        <v>42829</v>
      </c>
      <c r="F91" s="5">
        <v>0</v>
      </c>
      <c r="G91" s="10">
        <v>42878</v>
      </c>
      <c r="H91" s="10">
        <v>42858</v>
      </c>
      <c r="I91" s="5" t="s">
        <v>228</v>
      </c>
      <c r="J91" s="5">
        <v>405.02</v>
      </c>
      <c r="K91" s="5">
        <v>73.04</v>
      </c>
      <c r="L91" s="5">
        <v>331.98</v>
      </c>
      <c r="M91" s="11">
        <f>+G91-H91</f>
        <v>20</v>
      </c>
      <c r="N91" s="12">
        <f t="shared" si="0"/>
        <v>6639.6</v>
      </c>
    </row>
    <row r="92" spans="1:14" s="4" customFormat="1" ht="12.75">
      <c r="A92" s="9" t="s">
        <v>231</v>
      </c>
      <c r="B92" s="5">
        <v>731</v>
      </c>
      <c r="C92" s="10">
        <v>42875</v>
      </c>
      <c r="D92" s="5" t="s">
        <v>129</v>
      </c>
      <c r="E92" s="10">
        <v>42829</v>
      </c>
      <c r="F92" s="5">
        <v>0</v>
      </c>
      <c r="G92" s="10">
        <v>42878</v>
      </c>
      <c r="H92" s="10">
        <v>42858</v>
      </c>
      <c r="I92" s="5" t="s">
        <v>228</v>
      </c>
      <c r="J92" s="5">
        <v>949.33</v>
      </c>
      <c r="K92" s="5">
        <v>171.19</v>
      </c>
      <c r="L92" s="5">
        <v>778.14</v>
      </c>
      <c r="M92" s="11">
        <f>+G92-H92</f>
        <v>20</v>
      </c>
      <c r="N92" s="12">
        <f t="shared" si="0"/>
        <v>15562.8</v>
      </c>
    </row>
    <row r="93" spans="1:14" s="4" customFormat="1" ht="12.75">
      <c r="A93" s="9" t="s">
        <v>231</v>
      </c>
      <c r="B93" s="5">
        <v>734</v>
      </c>
      <c r="C93" s="10">
        <v>42875</v>
      </c>
      <c r="D93" s="5" t="s">
        <v>81</v>
      </c>
      <c r="E93" s="10">
        <v>42829</v>
      </c>
      <c r="F93" s="5">
        <v>0</v>
      </c>
      <c r="G93" s="10">
        <v>42878</v>
      </c>
      <c r="H93" s="10">
        <v>42858</v>
      </c>
      <c r="I93" s="5" t="s">
        <v>228</v>
      </c>
      <c r="J93" s="5">
        <v>644.68</v>
      </c>
      <c r="K93" s="5">
        <v>116.25</v>
      </c>
      <c r="L93" s="5">
        <v>528.43</v>
      </c>
      <c r="M93" s="11">
        <f>+G93-H93</f>
        <v>20</v>
      </c>
      <c r="N93" s="12">
        <f t="shared" si="0"/>
        <v>10568.599999999999</v>
      </c>
    </row>
    <row r="94" spans="1:14" s="4" customFormat="1" ht="12.75">
      <c r="A94" s="9" t="s">
        <v>231</v>
      </c>
      <c r="B94" s="5">
        <v>738</v>
      </c>
      <c r="C94" s="10">
        <v>42875</v>
      </c>
      <c r="D94" s="5" t="s">
        <v>82</v>
      </c>
      <c r="E94" s="10">
        <v>42829</v>
      </c>
      <c r="F94" s="5">
        <v>0</v>
      </c>
      <c r="G94" s="10">
        <v>42878</v>
      </c>
      <c r="H94" s="10">
        <v>42858</v>
      </c>
      <c r="I94" s="5" t="s">
        <v>228</v>
      </c>
      <c r="J94" s="5">
        <v>439.77</v>
      </c>
      <c r="K94" s="5">
        <v>79.3</v>
      </c>
      <c r="L94" s="5">
        <v>360.47</v>
      </c>
      <c r="M94" s="11">
        <f>+G94-H94</f>
        <v>20</v>
      </c>
      <c r="N94" s="12">
        <f t="shared" si="0"/>
        <v>7209.400000000001</v>
      </c>
    </row>
    <row r="95" spans="1:14" s="4" customFormat="1" ht="12.75">
      <c r="A95" s="9" t="s">
        <v>231</v>
      </c>
      <c r="B95" s="5">
        <v>739</v>
      </c>
      <c r="C95" s="10">
        <v>42875</v>
      </c>
      <c r="D95" s="5" t="s">
        <v>83</v>
      </c>
      <c r="E95" s="10">
        <v>42829</v>
      </c>
      <c r="F95" s="5">
        <v>0</v>
      </c>
      <c r="G95" s="10">
        <v>42878</v>
      </c>
      <c r="H95" s="10">
        <v>42858</v>
      </c>
      <c r="I95" s="5" t="s">
        <v>228</v>
      </c>
      <c r="J95" s="13">
        <v>3515.25</v>
      </c>
      <c r="K95" s="5">
        <v>626.13</v>
      </c>
      <c r="L95" s="13">
        <v>2889.12</v>
      </c>
      <c r="M95" s="11">
        <f>+G95-H95</f>
        <v>20</v>
      </c>
      <c r="N95" s="12">
        <f t="shared" si="0"/>
        <v>57782.399999999994</v>
      </c>
    </row>
    <row r="96" spans="1:14" s="4" customFormat="1" ht="12.75">
      <c r="A96" s="9" t="s">
        <v>231</v>
      </c>
      <c r="B96" s="5">
        <v>733</v>
      </c>
      <c r="C96" s="10">
        <v>42875</v>
      </c>
      <c r="D96" s="5" t="s">
        <v>84</v>
      </c>
      <c r="E96" s="10">
        <v>42829</v>
      </c>
      <c r="F96" s="5">
        <v>0</v>
      </c>
      <c r="G96" s="10">
        <v>42878</v>
      </c>
      <c r="H96" s="10">
        <v>42858</v>
      </c>
      <c r="I96" s="5" t="s">
        <v>228</v>
      </c>
      <c r="J96" s="5">
        <v>713.97</v>
      </c>
      <c r="K96" s="5">
        <v>128.75</v>
      </c>
      <c r="L96" s="5">
        <v>585.22</v>
      </c>
      <c r="M96" s="11">
        <f>+G96-H96</f>
        <v>20</v>
      </c>
      <c r="N96" s="12">
        <f t="shared" si="0"/>
        <v>11704.400000000001</v>
      </c>
    </row>
    <row r="97" spans="1:14" s="4" customFormat="1" ht="12.75">
      <c r="A97" s="9" t="s">
        <v>231</v>
      </c>
      <c r="B97" s="5">
        <v>794</v>
      </c>
      <c r="C97" s="10">
        <v>42878</v>
      </c>
      <c r="D97" s="5" t="s">
        <v>85</v>
      </c>
      <c r="E97" s="10">
        <v>42829</v>
      </c>
      <c r="F97" s="5">
        <v>0</v>
      </c>
      <c r="G97" s="10">
        <v>42878</v>
      </c>
      <c r="H97" s="10">
        <v>42858</v>
      </c>
      <c r="I97" s="5" t="s">
        <v>228</v>
      </c>
      <c r="J97" s="5">
        <v>625.76</v>
      </c>
      <c r="K97" s="5">
        <v>112.84</v>
      </c>
      <c r="L97" s="5">
        <v>512.92</v>
      </c>
      <c r="M97" s="11">
        <f>+G97-H97</f>
        <v>20</v>
      </c>
      <c r="N97" s="12">
        <f t="shared" si="0"/>
        <v>10258.4</v>
      </c>
    </row>
    <row r="98" spans="1:14" s="4" customFormat="1" ht="12.75">
      <c r="A98" s="9" t="s">
        <v>231</v>
      </c>
      <c r="B98" s="5">
        <v>735</v>
      </c>
      <c r="C98" s="10">
        <v>42875</v>
      </c>
      <c r="D98" s="5" t="s">
        <v>86</v>
      </c>
      <c r="E98" s="10">
        <v>42829</v>
      </c>
      <c r="F98" s="5">
        <v>0</v>
      </c>
      <c r="G98" s="10">
        <v>42878</v>
      </c>
      <c r="H98" s="10">
        <v>42858</v>
      </c>
      <c r="I98" s="5" t="s">
        <v>228</v>
      </c>
      <c r="J98" s="5">
        <v>723.64</v>
      </c>
      <c r="K98" s="5">
        <v>130.49</v>
      </c>
      <c r="L98" s="5">
        <v>593.15</v>
      </c>
      <c r="M98" s="11">
        <f>+G98-H98</f>
        <v>20</v>
      </c>
      <c r="N98" s="12">
        <f t="shared" si="0"/>
        <v>11863</v>
      </c>
    </row>
    <row r="99" spans="1:14" s="4" customFormat="1" ht="12.75">
      <c r="A99" s="9" t="s">
        <v>231</v>
      </c>
      <c r="B99" s="5">
        <v>736</v>
      </c>
      <c r="C99" s="10">
        <v>42875</v>
      </c>
      <c r="D99" s="5" t="s">
        <v>87</v>
      </c>
      <c r="E99" s="10">
        <v>42829</v>
      </c>
      <c r="F99" s="5">
        <v>0</v>
      </c>
      <c r="G99" s="10">
        <v>42878</v>
      </c>
      <c r="H99" s="10">
        <v>42858</v>
      </c>
      <c r="I99" s="5" t="s">
        <v>228</v>
      </c>
      <c r="J99" s="5">
        <v>159.05</v>
      </c>
      <c r="K99" s="5">
        <v>28.68</v>
      </c>
      <c r="L99" s="5">
        <v>130.37</v>
      </c>
      <c r="M99" s="11">
        <f>+G99-H99</f>
        <v>20</v>
      </c>
      <c r="N99" s="12">
        <f t="shared" si="0"/>
        <v>2607.4</v>
      </c>
    </row>
    <row r="100" spans="1:14" s="4" customFormat="1" ht="12.75">
      <c r="A100" s="9" t="s">
        <v>231</v>
      </c>
      <c r="B100" s="5">
        <v>795</v>
      </c>
      <c r="C100" s="10">
        <v>42878</v>
      </c>
      <c r="D100" s="5" t="s">
        <v>88</v>
      </c>
      <c r="E100" s="10">
        <v>42829</v>
      </c>
      <c r="F100" s="5">
        <v>0</v>
      </c>
      <c r="G100" s="10">
        <v>42878</v>
      </c>
      <c r="H100" s="10">
        <v>42858</v>
      </c>
      <c r="I100" s="5" t="s">
        <v>228</v>
      </c>
      <c r="J100" s="5">
        <v>266.78</v>
      </c>
      <c r="K100" s="5">
        <v>48.11</v>
      </c>
      <c r="L100" s="5">
        <v>218.67</v>
      </c>
      <c r="M100" s="11">
        <f aca="true" t="shared" si="1" ref="M100:M159">+G100-H100</f>
        <v>20</v>
      </c>
      <c r="N100" s="12">
        <f t="shared" si="0"/>
        <v>4373.4</v>
      </c>
    </row>
    <row r="101" spans="1:14" s="4" customFormat="1" ht="12.75">
      <c r="A101" s="9" t="s">
        <v>231</v>
      </c>
      <c r="B101" s="5">
        <v>732</v>
      </c>
      <c r="C101" s="10">
        <v>42875</v>
      </c>
      <c r="D101" s="5" t="s">
        <v>89</v>
      </c>
      <c r="E101" s="10">
        <v>42829</v>
      </c>
      <c r="F101" s="5">
        <v>0</v>
      </c>
      <c r="G101" s="10">
        <v>42878</v>
      </c>
      <c r="H101" s="10">
        <v>42858</v>
      </c>
      <c r="I101" s="5" t="s">
        <v>228</v>
      </c>
      <c r="J101" s="5">
        <v>213.16</v>
      </c>
      <c r="K101" s="5">
        <v>38.44</v>
      </c>
      <c r="L101" s="5">
        <v>174.72</v>
      </c>
      <c r="M101" s="11">
        <f t="shared" si="1"/>
        <v>20</v>
      </c>
      <c r="N101" s="12">
        <f t="shared" si="0"/>
        <v>3494.4</v>
      </c>
    </row>
    <row r="102" spans="1:14" s="4" customFormat="1" ht="12.75">
      <c r="A102" s="9" t="s">
        <v>114</v>
      </c>
      <c r="B102" s="5">
        <v>357</v>
      </c>
      <c r="C102" s="10">
        <v>42826</v>
      </c>
      <c r="D102" s="16" t="s">
        <v>0</v>
      </c>
      <c r="E102" s="10">
        <v>42710</v>
      </c>
      <c r="F102" s="5">
        <v>0</v>
      </c>
      <c r="G102" s="10">
        <v>42830</v>
      </c>
      <c r="H102" s="10">
        <v>42810</v>
      </c>
      <c r="I102" s="5" t="s">
        <v>228</v>
      </c>
      <c r="J102" s="5">
        <v>323.51</v>
      </c>
      <c r="K102" s="5">
        <v>58.34</v>
      </c>
      <c r="L102" s="5">
        <v>265.17</v>
      </c>
      <c r="M102" s="11">
        <f t="shared" si="1"/>
        <v>20</v>
      </c>
      <c r="N102" s="12">
        <f t="shared" si="0"/>
        <v>5303.400000000001</v>
      </c>
    </row>
    <row r="103" spans="1:14" s="4" customFormat="1" ht="12.75">
      <c r="A103" s="9" t="s">
        <v>1</v>
      </c>
      <c r="B103" s="5">
        <v>366</v>
      </c>
      <c r="C103" s="10">
        <v>42828</v>
      </c>
      <c r="D103" s="5" t="s">
        <v>2</v>
      </c>
      <c r="E103" s="10">
        <v>42783</v>
      </c>
      <c r="F103" s="5">
        <v>0</v>
      </c>
      <c r="G103" s="10">
        <v>42830</v>
      </c>
      <c r="H103" s="10">
        <v>42811</v>
      </c>
      <c r="I103" s="5" t="s">
        <v>228</v>
      </c>
      <c r="J103" s="13">
        <v>2440</v>
      </c>
      <c r="K103" s="5">
        <v>440</v>
      </c>
      <c r="L103" s="13">
        <v>2000</v>
      </c>
      <c r="M103" s="11">
        <f t="shared" si="1"/>
        <v>19</v>
      </c>
      <c r="N103" s="12">
        <f t="shared" si="0"/>
        <v>38000</v>
      </c>
    </row>
    <row r="104" spans="1:14" s="4" customFormat="1" ht="12.75">
      <c r="A104" s="9" t="s">
        <v>4</v>
      </c>
      <c r="B104" s="5">
        <v>353</v>
      </c>
      <c r="C104" s="10">
        <v>42826</v>
      </c>
      <c r="D104" s="5" t="str">
        <f>"2017900056"</f>
        <v>2017900056</v>
      </c>
      <c r="E104" s="10">
        <v>42766</v>
      </c>
      <c r="F104" s="5">
        <v>0</v>
      </c>
      <c r="G104" s="10">
        <v>42830</v>
      </c>
      <c r="H104" s="10">
        <v>42812</v>
      </c>
      <c r="I104" s="5" t="s">
        <v>26</v>
      </c>
      <c r="J104" s="13">
        <v>1390.8</v>
      </c>
      <c r="K104" s="5">
        <v>250.8</v>
      </c>
      <c r="L104" s="13">
        <v>1140</v>
      </c>
      <c r="M104" s="11">
        <f t="shared" si="1"/>
        <v>18</v>
      </c>
      <c r="N104" s="12">
        <f t="shared" si="0"/>
        <v>20520</v>
      </c>
    </row>
    <row r="105" spans="1:14" s="4" customFormat="1" ht="25.5">
      <c r="A105" s="9" t="s">
        <v>3</v>
      </c>
      <c r="B105" s="5">
        <v>931</v>
      </c>
      <c r="C105" s="10">
        <v>42900</v>
      </c>
      <c r="D105" s="5" t="str">
        <f>"146"</f>
        <v>146</v>
      </c>
      <c r="E105" s="10">
        <v>42851</v>
      </c>
      <c r="F105" s="5">
        <v>0</v>
      </c>
      <c r="G105" s="10">
        <v>42900</v>
      </c>
      <c r="H105" s="10">
        <v>42888</v>
      </c>
      <c r="I105" s="5" t="s">
        <v>228</v>
      </c>
      <c r="J105" s="5">
        <v>210</v>
      </c>
      <c r="K105" s="5">
        <v>0</v>
      </c>
      <c r="L105" s="5">
        <v>210</v>
      </c>
      <c r="M105" s="11">
        <f t="shared" si="1"/>
        <v>12</v>
      </c>
      <c r="N105" s="12">
        <f t="shared" si="0"/>
        <v>2520</v>
      </c>
    </row>
    <row r="106" spans="1:14" s="4" customFormat="1" ht="12.75">
      <c r="A106" s="9" t="s">
        <v>6</v>
      </c>
      <c r="B106" s="5">
        <v>370</v>
      </c>
      <c r="C106" s="10">
        <v>42828</v>
      </c>
      <c r="D106" s="5" t="s">
        <v>7</v>
      </c>
      <c r="E106" s="10">
        <v>42766</v>
      </c>
      <c r="F106" s="5">
        <v>0</v>
      </c>
      <c r="G106" s="10">
        <v>42830</v>
      </c>
      <c r="H106" s="10">
        <v>42818</v>
      </c>
      <c r="I106" s="5" t="s">
        <v>26</v>
      </c>
      <c r="J106" s="13">
        <v>1145.58</v>
      </c>
      <c r="K106" s="5">
        <v>206.58</v>
      </c>
      <c r="L106" s="5">
        <v>939</v>
      </c>
      <c r="M106" s="11">
        <f t="shared" si="1"/>
        <v>12</v>
      </c>
      <c r="N106" s="12">
        <f t="shared" si="0"/>
        <v>11268</v>
      </c>
    </row>
    <row r="107" spans="1:14" s="4" customFormat="1" ht="25.5">
      <c r="A107" s="9" t="s">
        <v>107</v>
      </c>
      <c r="B107" s="5">
        <v>432</v>
      </c>
      <c r="C107" s="10">
        <v>42843</v>
      </c>
      <c r="D107" s="5" t="s">
        <v>8</v>
      </c>
      <c r="E107" s="10">
        <v>42800</v>
      </c>
      <c r="F107" s="5">
        <v>0</v>
      </c>
      <c r="G107" s="10">
        <v>42843</v>
      </c>
      <c r="H107" s="10">
        <v>42831</v>
      </c>
      <c r="I107" s="5" t="s">
        <v>228</v>
      </c>
      <c r="J107" s="13">
        <v>2926.38</v>
      </c>
      <c r="K107" s="5">
        <v>527.71</v>
      </c>
      <c r="L107" s="13">
        <v>2398.67</v>
      </c>
      <c r="M107" s="11">
        <f t="shared" si="1"/>
        <v>12</v>
      </c>
      <c r="N107" s="12">
        <f t="shared" si="0"/>
        <v>28784.04</v>
      </c>
    </row>
    <row r="108" spans="1:14" s="4" customFormat="1" ht="12.75">
      <c r="A108" s="9" t="s">
        <v>9</v>
      </c>
      <c r="B108" s="5">
        <v>368</v>
      </c>
      <c r="C108" s="10">
        <v>42828</v>
      </c>
      <c r="D108" s="5" t="s">
        <v>93</v>
      </c>
      <c r="E108" s="10">
        <v>42788</v>
      </c>
      <c r="F108" s="5">
        <v>0</v>
      </c>
      <c r="G108" s="10">
        <v>42830</v>
      </c>
      <c r="H108" s="10">
        <v>42819</v>
      </c>
      <c r="I108" s="5" t="s">
        <v>26</v>
      </c>
      <c r="J108" s="5">
        <v>472.87</v>
      </c>
      <c r="K108" s="5">
        <v>85.27</v>
      </c>
      <c r="L108" s="5">
        <v>387.6</v>
      </c>
      <c r="M108" s="11">
        <f t="shared" si="1"/>
        <v>11</v>
      </c>
      <c r="N108" s="12">
        <f t="shared" si="0"/>
        <v>4263.6</v>
      </c>
    </row>
    <row r="109" spans="1:14" s="4" customFormat="1" ht="12.75">
      <c r="A109" s="9" t="s">
        <v>114</v>
      </c>
      <c r="B109" s="5">
        <v>684</v>
      </c>
      <c r="C109" s="10">
        <v>42867</v>
      </c>
      <c r="D109" s="16" t="s">
        <v>10</v>
      </c>
      <c r="E109" s="10">
        <v>42772</v>
      </c>
      <c r="F109" s="5">
        <v>0</v>
      </c>
      <c r="G109" s="10">
        <v>42868</v>
      </c>
      <c r="H109" s="10">
        <v>42857</v>
      </c>
      <c r="I109" s="5" t="s">
        <v>228</v>
      </c>
      <c r="J109" s="5">
        <v>85.4</v>
      </c>
      <c r="K109" s="5">
        <v>14.94</v>
      </c>
      <c r="L109" s="5">
        <v>70.46</v>
      </c>
      <c r="M109" s="11">
        <f t="shared" si="1"/>
        <v>11</v>
      </c>
      <c r="N109" s="12">
        <f t="shared" si="0"/>
        <v>775.06</v>
      </c>
    </row>
    <row r="110" spans="1:14" s="4" customFormat="1" ht="12.75">
      <c r="A110" s="9" t="s">
        <v>39</v>
      </c>
      <c r="B110" s="5">
        <v>434</v>
      </c>
      <c r="C110" s="10">
        <v>42843</v>
      </c>
      <c r="D110" s="5" t="str">
        <f>"17019"</f>
        <v>17019</v>
      </c>
      <c r="E110" s="10">
        <v>42794</v>
      </c>
      <c r="F110" s="5">
        <v>0</v>
      </c>
      <c r="G110" s="10">
        <v>42843</v>
      </c>
      <c r="H110" s="10">
        <v>42833</v>
      </c>
      <c r="I110" s="5" t="s">
        <v>228</v>
      </c>
      <c r="J110" s="13">
        <v>3212.85</v>
      </c>
      <c r="K110" s="5">
        <v>579.37</v>
      </c>
      <c r="L110" s="13">
        <v>2633.48</v>
      </c>
      <c r="M110" s="11">
        <f t="shared" si="1"/>
        <v>10</v>
      </c>
      <c r="N110" s="12">
        <f t="shared" si="0"/>
        <v>26334.8</v>
      </c>
    </row>
    <row r="111" spans="1:14" s="4" customFormat="1" ht="12.75">
      <c r="A111" s="9" t="s">
        <v>94</v>
      </c>
      <c r="B111" s="5">
        <v>424</v>
      </c>
      <c r="C111" s="10">
        <v>42837</v>
      </c>
      <c r="D111" s="5" t="str">
        <f>"0001105719"</f>
        <v>0001105719</v>
      </c>
      <c r="E111" s="10">
        <v>42794</v>
      </c>
      <c r="F111" s="5">
        <v>0</v>
      </c>
      <c r="G111" s="10">
        <v>42843</v>
      </c>
      <c r="H111" s="10">
        <v>42834</v>
      </c>
      <c r="I111" s="5" t="s">
        <v>228</v>
      </c>
      <c r="J111" s="5">
        <v>579.5</v>
      </c>
      <c r="K111" s="5">
        <v>0</v>
      </c>
      <c r="L111" s="5">
        <v>579.5</v>
      </c>
      <c r="M111" s="11">
        <f t="shared" si="1"/>
        <v>9</v>
      </c>
      <c r="N111" s="12">
        <f t="shared" si="0"/>
        <v>5215.5</v>
      </c>
    </row>
    <row r="112" spans="1:14" s="4" customFormat="1" ht="12.75">
      <c r="A112" s="9" t="s">
        <v>13</v>
      </c>
      <c r="B112" s="5">
        <v>694</v>
      </c>
      <c r="C112" s="10">
        <v>42867</v>
      </c>
      <c r="D112" s="5" t="s">
        <v>14</v>
      </c>
      <c r="E112" s="10">
        <v>42815</v>
      </c>
      <c r="F112" s="5">
        <v>0</v>
      </c>
      <c r="G112" s="10">
        <v>42868</v>
      </c>
      <c r="H112" s="10">
        <v>42859</v>
      </c>
      <c r="I112" s="5" t="s">
        <v>228</v>
      </c>
      <c r="J112" s="5">
        <v>652</v>
      </c>
      <c r="K112" s="5">
        <v>0</v>
      </c>
      <c r="L112" s="5">
        <v>652</v>
      </c>
      <c r="M112" s="11">
        <f t="shared" si="1"/>
        <v>9</v>
      </c>
      <c r="N112" s="12">
        <f t="shared" si="0"/>
        <v>5868</v>
      </c>
    </row>
    <row r="113" spans="1:14" s="4" customFormat="1" ht="25.5">
      <c r="A113" s="9" t="s">
        <v>16</v>
      </c>
      <c r="B113" s="5">
        <v>792</v>
      </c>
      <c r="C113" s="10">
        <v>42878</v>
      </c>
      <c r="D113" s="5" t="str">
        <f>"737"</f>
        <v>737</v>
      </c>
      <c r="E113" s="10">
        <v>42788</v>
      </c>
      <c r="F113" s="5">
        <v>0</v>
      </c>
      <c r="G113" s="10">
        <v>42878</v>
      </c>
      <c r="H113" s="10">
        <v>42871</v>
      </c>
      <c r="I113" s="5" t="s">
        <v>228</v>
      </c>
      <c r="J113" s="5">
        <v>24.71</v>
      </c>
      <c r="K113" s="5">
        <v>4.46</v>
      </c>
      <c r="L113" s="5">
        <v>20.25</v>
      </c>
      <c r="M113" s="11">
        <f t="shared" si="1"/>
        <v>7</v>
      </c>
      <c r="N113" s="12">
        <f t="shared" si="0"/>
        <v>141.75</v>
      </c>
    </row>
    <row r="114" spans="1:14" s="4" customFormat="1" ht="25.5">
      <c r="A114" s="9" t="s">
        <v>17</v>
      </c>
      <c r="B114" s="5">
        <v>692</v>
      </c>
      <c r="C114" s="10">
        <v>42867</v>
      </c>
      <c r="D114" s="5" t="s">
        <v>18</v>
      </c>
      <c r="E114" s="10">
        <v>42825</v>
      </c>
      <c r="F114" s="5">
        <v>0</v>
      </c>
      <c r="G114" s="10">
        <v>42868</v>
      </c>
      <c r="H114" s="10">
        <v>42862</v>
      </c>
      <c r="I114" s="5" t="s">
        <v>26</v>
      </c>
      <c r="J114" s="5">
        <v>48.92</v>
      </c>
      <c r="K114" s="5">
        <v>8.82</v>
      </c>
      <c r="L114" s="5">
        <v>40.1</v>
      </c>
      <c r="M114" s="11">
        <f t="shared" si="1"/>
        <v>6</v>
      </c>
      <c r="N114" s="12">
        <f t="shared" si="0"/>
        <v>240.60000000000002</v>
      </c>
    </row>
    <row r="115" spans="1:14" s="4" customFormat="1" ht="25.5">
      <c r="A115" s="9" t="s">
        <v>17</v>
      </c>
      <c r="B115" s="5">
        <v>692</v>
      </c>
      <c r="C115" s="10">
        <v>42867</v>
      </c>
      <c r="D115" s="5" t="s">
        <v>19</v>
      </c>
      <c r="E115" s="10">
        <v>42794</v>
      </c>
      <c r="F115" s="5">
        <v>0</v>
      </c>
      <c r="G115" s="10">
        <v>42868</v>
      </c>
      <c r="H115" s="10">
        <v>42862</v>
      </c>
      <c r="I115" s="5" t="s">
        <v>26</v>
      </c>
      <c r="J115" s="13">
        <v>1262.61</v>
      </c>
      <c r="K115" s="5">
        <v>227.68</v>
      </c>
      <c r="L115" s="13">
        <v>1034.93</v>
      </c>
      <c r="M115" s="11">
        <f t="shared" si="1"/>
        <v>6</v>
      </c>
      <c r="N115" s="12">
        <f t="shared" si="0"/>
        <v>6209.58</v>
      </c>
    </row>
    <row r="116" spans="1:14" s="4" customFormat="1" ht="25.5">
      <c r="A116" s="9" t="s">
        <v>20</v>
      </c>
      <c r="B116" s="5">
        <v>403</v>
      </c>
      <c r="C116" s="10">
        <v>42830</v>
      </c>
      <c r="D116" s="5" t="s">
        <v>21</v>
      </c>
      <c r="E116" s="10">
        <v>42794</v>
      </c>
      <c r="F116" s="5">
        <v>0</v>
      </c>
      <c r="G116" s="10">
        <v>42830</v>
      </c>
      <c r="H116" s="10">
        <v>42824</v>
      </c>
      <c r="I116" s="5" t="s">
        <v>228</v>
      </c>
      <c r="J116" s="5">
        <v>755.79</v>
      </c>
      <c r="K116" s="5">
        <v>136.29</v>
      </c>
      <c r="L116" s="5">
        <v>619.5</v>
      </c>
      <c r="M116" s="11">
        <f t="shared" si="1"/>
        <v>6</v>
      </c>
      <c r="N116" s="12">
        <f t="shared" si="0"/>
        <v>3717</v>
      </c>
    </row>
    <row r="117" spans="1:14" s="4" customFormat="1" ht="12.75">
      <c r="A117" s="9" t="s">
        <v>131</v>
      </c>
      <c r="B117" s="5">
        <v>376</v>
      </c>
      <c r="C117" s="10">
        <v>42828</v>
      </c>
      <c r="D117" s="5" t="s">
        <v>132</v>
      </c>
      <c r="E117" s="10">
        <v>42794</v>
      </c>
      <c r="F117" s="5">
        <v>0</v>
      </c>
      <c r="G117" s="10">
        <v>42830</v>
      </c>
      <c r="H117" s="10">
        <v>42825</v>
      </c>
      <c r="I117" s="5" t="s">
        <v>228</v>
      </c>
      <c r="J117" s="5">
        <v>986.74</v>
      </c>
      <c r="K117" s="5">
        <v>177.94</v>
      </c>
      <c r="L117" s="5">
        <v>808.8</v>
      </c>
      <c r="M117" s="11">
        <f t="shared" si="1"/>
        <v>5</v>
      </c>
      <c r="N117" s="12">
        <f t="shared" si="0"/>
        <v>4044</v>
      </c>
    </row>
    <row r="118" spans="1:14" s="4" customFormat="1" ht="12.75">
      <c r="A118" s="9" t="s">
        <v>112</v>
      </c>
      <c r="B118" s="5">
        <v>371</v>
      </c>
      <c r="C118" s="10">
        <v>42828</v>
      </c>
      <c r="D118" s="5" t="s">
        <v>230</v>
      </c>
      <c r="E118" s="10">
        <v>42794</v>
      </c>
      <c r="F118" s="5">
        <v>0</v>
      </c>
      <c r="G118" s="10">
        <v>42830</v>
      </c>
      <c r="H118" s="10">
        <v>42826</v>
      </c>
      <c r="I118" s="5" t="s">
        <v>228</v>
      </c>
      <c r="J118" s="13">
        <v>5923.75</v>
      </c>
      <c r="K118" s="13">
        <v>1068.22</v>
      </c>
      <c r="L118" s="13">
        <v>4855.53</v>
      </c>
      <c r="M118" s="11">
        <f t="shared" si="1"/>
        <v>4</v>
      </c>
      <c r="N118" s="12">
        <f t="shared" si="0"/>
        <v>19422.12</v>
      </c>
    </row>
    <row r="119" spans="1:14" s="4" customFormat="1" ht="12.75">
      <c r="A119" s="9" t="s">
        <v>112</v>
      </c>
      <c r="B119" s="5">
        <v>402</v>
      </c>
      <c r="C119" s="10">
        <v>42830</v>
      </c>
      <c r="D119" s="5" t="s">
        <v>113</v>
      </c>
      <c r="E119" s="10">
        <v>42794</v>
      </c>
      <c r="F119" s="5">
        <v>0</v>
      </c>
      <c r="G119" s="10">
        <v>42830</v>
      </c>
      <c r="H119" s="10">
        <v>42827</v>
      </c>
      <c r="I119" s="5" t="s">
        <v>228</v>
      </c>
      <c r="J119" s="13">
        <v>2958.5</v>
      </c>
      <c r="K119" s="5">
        <v>533.5</v>
      </c>
      <c r="L119" s="13">
        <v>2425</v>
      </c>
      <c r="M119" s="11">
        <f t="shared" si="1"/>
        <v>3</v>
      </c>
      <c r="N119" s="12">
        <f t="shared" si="0"/>
        <v>7275</v>
      </c>
    </row>
    <row r="120" spans="1:14" s="4" customFormat="1" ht="25.5">
      <c r="A120" s="9" t="s">
        <v>20</v>
      </c>
      <c r="B120" s="5">
        <v>433</v>
      </c>
      <c r="C120" s="10">
        <v>42843</v>
      </c>
      <c r="D120" s="5" t="s">
        <v>136</v>
      </c>
      <c r="E120" s="10">
        <v>42810</v>
      </c>
      <c r="F120" s="5">
        <v>0</v>
      </c>
      <c r="G120" s="10">
        <v>42843</v>
      </c>
      <c r="H120" s="10">
        <v>42840</v>
      </c>
      <c r="I120" s="5" t="s">
        <v>228</v>
      </c>
      <c r="J120" s="5">
        <v>515.45</v>
      </c>
      <c r="K120" s="5">
        <v>92.95</v>
      </c>
      <c r="L120" s="5">
        <v>422.5</v>
      </c>
      <c r="M120" s="11">
        <f t="shared" si="1"/>
        <v>3</v>
      </c>
      <c r="N120" s="12">
        <f t="shared" si="0"/>
        <v>1267.5</v>
      </c>
    </row>
    <row r="121" spans="1:14" s="4" customFormat="1" ht="12.75">
      <c r="A121" s="9" t="s">
        <v>137</v>
      </c>
      <c r="B121" s="5">
        <v>379</v>
      </c>
      <c r="C121" s="10">
        <v>42828</v>
      </c>
      <c r="D121" s="5" t="s">
        <v>138</v>
      </c>
      <c r="E121" s="10">
        <v>42766</v>
      </c>
      <c r="F121" s="5">
        <v>0</v>
      </c>
      <c r="G121" s="10">
        <v>42830</v>
      </c>
      <c r="H121" s="10">
        <v>42827</v>
      </c>
      <c r="I121" s="5" t="s">
        <v>228</v>
      </c>
      <c r="J121" s="13">
        <v>1799.5</v>
      </c>
      <c r="K121" s="5">
        <v>324.5</v>
      </c>
      <c r="L121" s="13">
        <v>1475</v>
      </c>
      <c r="M121" s="11">
        <f t="shared" si="1"/>
        <v>3</v>
      </c>
      <c r="N121" s="12">
        <f t="shared" si="0"/>
        <v>4425</v>
      </c>
    </row>
    <row r="122" spans="1:14" s="4" customFormat="1" ht="12.75">
      <c r="A122" s="9" t="s">
        <v>39</v>
      </c>
      <c r="B122" s="5">
        <v>686</v>
      </c>
      <c r="C122" s="10">
        <v>42867</v>
      </c>
      <c r="D122" s="5" t="str">
        <f>"17023"</f>
        <v>17023</v>
      </c>
      <c r="E122" s="10">
        <v>42825</v>
      </c>
      <c r="F122" s="5">
        <v>0</v>
      </c>
      <c r="G122" s="10">
        <v>42868</v>
      </c>
      <c r="H122" s="10">
        <v>42866</v>
      </c>
      <c r="I122" s="5" t="s">
        <v>228</v>
      </c>
      <c r="J122" s="13">
        <v>2659.49</v>
      </c>
      <c r="K122" s="5">
        <v>479.58</v>
      </c>
      <c r="L122" s="13">
        <v>2179.91</v>
      </c>
      <c r="M122" s="11">
        <f t="shared" si="1"/>
        <v>2</v>
      </c>
      <c r="N122" s="12">
        <f t="shared" si="0"/>
        <v>4359.82</v>
      </c>
    </row>
    <row r="123" spans="1:14" s="4" customFormat="1" ht="12.75">
      <c r="A123" s="9" t="s">
        <v>94</v>
      </c>
      <c r="B123" s="5">
        <v>591</v>
      </c>
      <c r="C123" s="10">
        <v>42867</v>
      </c>
      <c r="D123" s="5" t="str">
        <f>"0001109362"</f>
        <v>0001109362</v>
      </c>
      <c r="E123" s="10">
        <v>42825</v>
      </c>
      <c r="F123" s="5">
        <v>0</v>
      </c>
      <c r="G123" s="10">
        <v>42868</v>
      </c>
      <c r="H123" s="10">
        <v>42866</v>
      </c>
      <c r="I123" s="5" t="s">
        <v>228</v>
      </c>
      <c r="J123" s="5">
        <v>193.4</v>
      </c>
      <c r="K123" s="5">
        <v>0</v>
      </c>
      <c r="L123" s="5">
        <v>193.4</v>
      </c>
      <c r="M123" s="11">
        <f t="shared" si="1"/>
        <v>2</v>
      </c>
      <c r="N123" s="12">
        <f t="shared" si="0"/>
        <v>386.8</v>
      </c>
    </row>
    <row r="124" spans="1:14" s="4" customFormat="1" ht="12.75">
      <c r="A124" s="9" t="s">
        <v>94</v>
      </c>
      <c r="B124" s="5">
        <v>591</v>
      </c>
      <c r="C124" s="10">
        <v>42867</v>
      </c>
      <c r="D124" s="5" t="str">
        <f>"0001109754"</f>
        <v>0001109754</v>
      </c>
      <c r="E124" s="10">
        <v>42825</v>
      </c>
      <c r="F124" s="5">
        <v>0</v>
      </c>
      <c r="G124" s="10">
        <v>42868</v>
      </c>
      <c r="H124" s="10">
        <v>42866</v>
      </c>
      <c r="I124" s="5" t="s">
        <v>228</v>
      </c>
      <c r="J124" s="13">
        <v>1292</v>
      </c>
      <c r="K124" s="5">
        <v>0</v>
      </c>
      <c r="L124" s="13">
        <v>1292</v>
      </c>
      <c r="M124" s="11">
        <f t="shared" si="1"/>
        <v>2</v>
      </c>
      <c r="N124" s="12">
        <f t="shared" si="0"/>
        <v>2584</v>
      </c>
    </row>
    <row r="125" spans="1:14" s="4" customFormat="1" ht="12.75">
      <c r="A125" s="9" t="s">
        <v>6</v>
      </c>
      <c r="B125" s="5">
        <v>425</v>
      </c>
      <c r="C125" s="10">
        <v>42837</v>
      </c>
      <c r="D125" s="5" t="str">
        <f>"0000035"</f>
        <v>0000035</v>
      </c>
      <c r="E125" s="10">
        <v>42794</v>
      </c>
      <c r="F125" s="5">
        <v>0</v>
      </c>
      <c r="G125" s="10">
        <v>42843</v>
      </c>
      <c r="H125" s="10">
        <v>42841</v>
      </c>
      <c r="I125" s="5" t="s">
        <v>26</v>
      </c>
      <c r="J125" s="13">
        <v>1145.58</v>
      </c>
      <c r="K125" s="5">
        <v>206.58</v>
      </c>
      <c r="L125" s="5">
        <v>939</v>
      </c>
      <c r="M125" s="11">
        <f t="shared" si="1"/>
        <v>2</v>
      </c>
      <c r="N125" s="12">
        <f t="shared" si="0"/>
        <v>1878</v>
      </c>
    </row>
    <row r="126" spans="1:14" s="4" customFormat="1" ht="25.5">
      <c r="A126" s="9" t="s">
        <v>11</v>
      </c>
      <c r="B126" s="5">
        <v>683</v>
      </c>
      <c r="C126" s="10">
        <v>42867</v>
      </c>
      <c r="D126" s="5" t="s">
        <v>12</v>
      </c>
      <c r="E126" s="10">
        <v>42828</v>
      </c>
      <c r="F126" s="5">
        <v>0</v>
      </c>
      <c r="G126" s="10">
        <v>42868</v>
      </c>
      <c r="H126" s="10">
        <v>42867</v>
      </c>
      <c r="I126" s="5" t="s">
        <v>228</v>
      </c>
      <c r="J126" s="5">
        <v>16</v>
      </c>
      <c r="K126" s="5">
        <v>0</v>
      </c>
      <c r="L126" s="5">
        <v>16</v>
      </c>
      <c r="M126" s="11">
        <f t="shared" si="1"/>
        <v>1</v>
      </c>
      <c r="N126" s="12">
        <f t="shared" si="0"/>
        <v>16</v>
      </c>
    </row>
    <row r="127" spans="1:14" s="4" customFormat="1" ht="12.75">
      <c r="A127" s="9" t="s">
        <v>4</v>
      </c>
      <c r="B127" s="5">
        <v>375</v>
      </c>
      <c r="C127" s="10">
        <v>42828</v>
      </c>
      <c r="D127" s="5" t="str">
        <f>"2017900099"</f>
        <v>2017900099</v>
      </c>
      <c r="E127" s="10">
        <v>42790</v>
      </c>
      <c r="F127" s="5">
        <v>0</v>
      </c>
      <c r="G127" s="10">
        <v>42830</v>
      </c>
      <c r="H127" s="10">
        <v>42829</v>
      </c>
      <c r="I127" s="5" t="s">
        <v>26</v>
      </c>
      <c r="J127" s="5">
        <v>927.2</v>
      </c>
      <c r="K127" s="5">
        <v>167.2</v>
      </c>
      <c r="L127" s="5">
        <v>760</v>
      </c>
      <c r="M127" s="11">
        <f t="shared" si="1"/>
        <v>1</v>
      </c>
      <c r="N127" s="12">
        <f t="shared" si="0"/>
        <v>760</v>
      </c>
    </row>
    <row r="128" spans="1:14" s="4" customFormat="1" ht="12.75">
      <c r="A128" s="9" t="s">
        <v>150</v>
      </c>
      <c r="B128" s="5">
        <v>377</v>
      </c>
      <c r="C128" s="10">
        <v>42828</v>
      </c>
      <c r="D128" s="5" t="s">
        <v>151</v>
      </c>
      <c r="E128" s="10">
        <v>42766</v>
      </c>
      <c r="F128" s="5">
        <v>0</v>
      </c>
      <c r="G128" s="10">
        <v>42830</v>
      </c>
      <c r="H128" s="10">
        <v>42829</v>
      </c>
      <c r="I128" s="5" t="s">
        <v>26</v>
      </c>
      <c r="J128" s="13">
        <v>1938.58</v>
      </c>
      <c r="K128" s="5">
        <v>349.58</v>
      </c>
      <c r="L128" s="13">
        <v>1589</v>
      </c>
      <c r="M128" s="11">
        <f t="shared" si="1"/>
        <v>1</v>
      </c>
      <c r="N128" s="12">
        <f t="shared" si="0"/>
        <v>1589</v>
      </c>
    </row>
    <row r="129" spans="1:14" s="4" customFormat="1" ht="38.25">
      <c r="A129" s="9" t="s">
        <v>92</v>
      </c>
      <c r="B129" s="5">
        <v>399</v>
      </c>
      <c r="C129" s="10">
        <v>42829</v>
      </c>
      <c r="D129" s="5" t="s">
        <v>152</v>
      </c>
      <c r="E129" s="10">
        <v>42771</v>
      </c>
      <c r="F129" s="5">
        <v>0</v>
      </c>
      <c r="G129" s="10">
        <v>42830</v>
      </c>
      <c r="H129" s="10">
        <v>42830</v>
      </c>
      <c r="I129" s="5" t="s">
        <v>228</v>
      </c>
      <c r="J129" s="13">
        <v>1010.88</v>
      </c>
      <c r="K129" s="5">
        <v>38.88</v>
      </c>
      <c r="L129" s="5">
        <v>972</v>
      </c>
      <c r="M129" s="11">
        <f t="shared" si="1"/>
        <v>0</v>
      </c>
      <c r="N129" s="12">
        <f t="shared" si="0"/>
        <v>0</v>
      </c>
    </row>
    <row r="130" spans="1:14" s="4" customFormat="1" ht="12.75">
      <c r="A130" s="9" t="s">
        <v>13</v>
      </c>
      <c r="B130" s="5">
        <v>687</v>
      </c>
      <c r="C130" s="10">
        <v>42867</v>
      </c>
      <c r="D130" s="5" t="s">
        <v>153</v>
      </c>
      <c r="E130" s="10">
        <v>42836</v>
      </c>
      <c r="F130" s="5">
        <v>0</v>
      </c>
      <c r="G130" s="10">
        <v>42868</v>
      </c>
      <c r="H130" s="10">
        <v>42868</v>
      </c>
      <c r="I130" s="5" t="s">
        <v>26</v>
      </c>
      <c r="J130" s="5">
        <v>837.52</v>
      </c>
      <c r="K130" s="5">
        <v>30.46</v>
      </c>
      <c r="L130" s="5">
        <v>807.06</v>
      </c>
      <c r="M130" s="11">
        <f t="shared" si="1"/>
        <v>0</v>
      </c>
      <c r="N130" s="12">
        <f t="shared" si="0"/>
        <v>0</v>
      </c>
    </row>
    <row r="131" spans="1:14" s="4" customFormat="1" ht="12.75">
      <c r="A131" s="9" t="s">
        <v>13</v>
      </c>
      <c r="B131" s="5">
        <v>687</v>
      </c>
      <c r="C131" s="10">
        <v>42867</v>
      </c>
      <c r="D131" s="5" t="s">
        <v>154</v>
      </c>
      <c r="E131" s="10">
        <v>42837</v>
      </c>
      <c r="F131" s="5">
        <v>0</v>
      </c>
      <c r="G131" s="10">
        <v>42868</v>
      </c>
      <c r="H131" s="10">
        <v>42869</v>
      </c>
      <c r="I131" s="5" t="s">
        <v>26</v>
      </c>
      <c r="J131" s="5">
        <v>773.02</v>
      </c>
      <c r="K131" s="5">
        <v>28.11</v>
      </c>
      <c r="L131" s="5">
        <v>744.91</v>
      </c>
      <c r="M131" s="11">
        <f t="shared" si="1"/>
        <v>-1</v>
      </c>
      <c r="N131" s="12">
        <f aca="true" t="shared" si="2" ref="N131:N194">+L131*M131</f>
        <v>-744.91</v>
      </c>
    </row>
    <row r="132" spans="1:14" s="4" customFormat="1" ht="12.75">
      <c r="A132" s="9" t="s">
        <v>13</v>
      </c>
      <c r="B132" s="5">
        <v>687</v>
      </c>
      <c r="C132" s="10">
        <v>42867</v>
      </c>
      <c r="D132" s="5" t="s">
        <v>155</v>
      </c>
      <c r="E132" s="10">
        <v>42837</v>
      </c>
      <c r="F132" s="5">
        <v>0</v>
      </c>
      <c r="G132" s="10">
        <v>42868</v>
      </c>
      <c r="H132" s="10">
        <v>42869</v>
      </c>
      <c r="I132" s="5" t="s">
        <v>26</v>
      </c>
      <c r="J132" s="5">
        <v>858.7</v>
      </c>
      <c r="K132" s="5">
        <v>31.23</v>
      </c>
      <c r="L132" s="5">
        <v>827.47</v>
      </c>
      <c r="M132" s="11">
        <f>+G132-H132</f>
        <v>-1</v>
      </c>
      <c r="N132" s="12">
        <f t="shared" si="2"/>
        <v>-827.47</v>
      </c>
    </row>
    <row r="133" spans="1:14" s="4" customFormat="1" ht="12.75">
      <c r="A133" s="9" t="s">
        <v>13</v>
      </c>
      <c r="B133" s="5">
        <v>687</v>
      </c>
      <c r="C133" s="10">
        <v>42867</v>
      </c>
      <c r="D133" s="5" t="s">
        <v>156</v>
      </c>
      <c r="E133" s="10">
        <v>42837</v>
      </c>
      <c r="F133" s="5">
        <v>0</v>
      </c>
      <c r="G133" s="10">
        <v>42868</v>
      </c>
      <c r="H133" s="10">
        <v>42869</v>
      </c>
      <c r="I133" s="5" t="s">
        <v>26</v>
      </c>
      <c r="J133" s="5">
        <v>797.3</v>
      </c>
      <c r="K133" s="5">
        <v>29</v>
      </c>
      <c r="L133" s="5">
        <v>768.3</v>
      </c>
      <c r="M133" s="11">
        <f t="shared" si="1"/>
        <v>-1</v>
      </c>
      <c r="N133" s="12">
        <f t="shared" si="2"/>
        <v>-768.3</v>
      </c>
    </row>
    <row r="134" spans="1:14" s="4" customFormat="1" ht="12.75">
      <c r="A134" s="9" t="s">
        <v>4</v>
      </c>
      <c r="B134" s="5">
        <v>701</v>
      </c>
      <c r="C134" s="10">
        <v>42868</v>
      </c>
      <c r="D134" s="5" t="str">
        <f>"2017900267"</f>
        <v>2017900267</v>
      </c>
      <c r="E134" s="10">
        <v>42825</v>
      </c>
      <c r="F134" s="5">
        <v>0</v>
      </c>
      <c r="G134" s="10">
        <v>42868</v>
      </c>
      <c r="H134" s="10">
        <v>42869</v>
      </c>
      <c r="I134" s="5" t="s">
        <v>26</v>
      </c>
      <c r="J134" s="13">
        <v>5540.94</v>
      </c>
      <c r="K134" s="5">
        <v>999.19</v>
      </c>
      <c r="L134" s="13">
        <v>4541.75</v>
      </c>
      <c r="M134" s="11">
        <f>+G134-H134</f>
        <v>-1</v>
      </c>
      <c r="N134" s="12">
        <f t="shared" si="2"/>
        <v>-4541.75</v>
      </c>
    </row>
    <row r="135" spans="1:14" s="4" customFormat="1" ht="12.75">
      <c r="A135" s="9" t="s">
        <v>227</v>
      </c>
      <c r="B135" s="5">
        <v>753</v>
      </c>
      <c r="C135" s="10">
        <v>42877</v>
      </c>
      <c r="D135" s="5" t="str">
        <f>"41701246598"</f>
        <v>41701246598</v>
      </c>
      <c r="E135" s="10">
        <v>42846</v>
      </c>
      <c r="F135" s="5">
        <v>0</v>
      </c>
      <c r="G135" s="10">
        <v>42878</v>
      </c>
      <c r="H135" s="10">
        <v>42880</v>
      </c>
      <c r="I135" s="5" t="s">
        <v>228</v>
      </c>
      <c r="J135" s="13">
        <v>4476.13</v>
      </c>
      <c r="K135" s="5">
        <v>807.17</v>
      </c>
      <c r="L135" s="13">
        <v>3668.96</v>
      </c>
      <c r="M135" s="11">
        <f aca="true" t="shared" si="3" ref="M135:M162">+G135-H135</f>
        <v>-2</v>
      </c>
      <c r="N135" s="12">
        <f t="shared" si="2"/>
        <v>-7337.92</v>
      </c>
    </row>
    <row r="136" spans="1:14" s="4" customFormat="1" ht="12.75">
      <c r="A136" s="9" t="s">
        <v>227</v>
      </c>
      <c r="B136" s="5">
        <v>761</v>
      </c>
      <c r="C136" s="10">
        <v>42877</v>
      </c>
      <c r="D136" s="5" t="str">
        <f>"41701246600"</f>
        <v>41701246600</v>
      </c>
      <c r="E136" s="10">
        <v>42846</v>
      </c>
      <c r="F136" s="5">
        <v>0</v>
      </c>
      <c r="G136" s="10">
        <v>42878</v>
      </c>
      <c r="H136" s="10">
        <v>42880</v>
      </c>
      <c r="I136" s="5" t="s">
        <v>228</v>
      </c>
      <c r="J136" s="5">
        <v>207.13</v>
      </c>
      <c r="K136" s="5">
        <v>31.03</v>
      </c>
      <c r="L136" s="5">
        <v>176.1</v>
      </c>
      <c r="M136" s="11">
        <f t="shared" si="3"/>
        <v>-2</v>
      </c>
      <c r="N136" s="12">
        <f t="shared" si="2"/>
        <v>-352.2</v>
      </c>
    </row>
    <row r="137" spans="1:14" s="4" customFormat="1" ht="12.75">
      <c r="A137" s="9" t="s">
        <v>227</v>
      </c>
      <c r="B137" s="5">
        <v>757</v>
      </c>
      <c r="C137" s="10">
        <v>42877</v>
      </c>
      <c r="D137" s="5" t="str">
        <f>"41701246601"</f>
        <v>41701246601</v>
      </c>
      <c r="E137" s="10">
        <v>42846</v>
      </c>
      <c r="F137" s="5">
        <v>0</v>
      </c>
      <c r="G137" s="10">
        <v>42878</v>
      </c>
      <c r="H137" s="10">
        <v>42880</v>
      </c>
      <c r="I137" s="5" t="s">
        <v>228</v>
      </c>
      <c r="J137" s="5">
        <v>774.13</v>
      </c>
      <c r="K137" s="5">
        <v>139.6</v>
      </c>
      <c r="L137" s="5">
        <v>634.53</v>
      </c>
      <c r="M137" s="11">
        <f t="shared" si="3"/>
        <v>-2</v>
      </c>
      <c r="N137" s="12">
        <f t="shared" si="2"/>
        <v>-1269.06</v>
      </c>
    </row>
    <row r="138" spans="1:14" s="4" customFormat="1" ht="12.75">
      <c r="A138" s="9" t="s">
        <v>227</v>
      </c>
      <c r="B138" s="5">
        <v>800</v>
      </c>
      <c r="C138" s="10">
        <v>42878</v>
      </c>
      <c r="D138" s="5" t="str">
        <f>"41701246592"</f>
        <v>41701246592</v>
      </c>
      <c r="E138" s="10">
        <v>42846</v>
      </c>
      <c r="F138" s="5">
        <v>0</v>
      </c>
      <c r="G138" s="10">
        <v>42878</v>
      </c>
      <c r="H138" s="10">
        <v>42880</v>
      </c>
      <c r="I138" s="5" t="s">
        <v>228</v>
      </c>
      <c r="J138" s="5">
        <v>688.81</v>
      </c>
      <c r="K138" s="5">
        <v>124.21</v>
      </c>
      <c r="L138" s="5">
        <v>564.6</v>
      </c>
      <c r="M138" s="11">
        <f t="shared" si="3"/>
        <v>-2</v>
      </c>
      <c r="N138" s="12">
        <f t="shared" si="2"/>
        <v>-1129.2</v>
      </c>
    </row>
    <row r="139" spans="1:14" s="4" customFormat="1" ht="12.75">
      <c r="A139" s="9" t="s">
        <v>227</v>
      </c>
      <c r="B139" s="5">
        <v>758</v>
      </c>
      <c r="C139" s="10">
        <v>42877</v>
      </c>
      <c r="D139" s="5" t="str">
        <f>"41701246602"</f>
        <v>41701246602</v>
      </c>
      <c r="E139" s="10">
        <v>42846</v>
      </c>
      <c r="F139" s="5">
        <v>0</v>
      </c>
      <c r="G139" s="10">
        <v>42878</v>
      </c>
      <c r="H139" s="10">
        <v>42880</v>
      </c>
      <c r="I139" s="5" t="s">
        <v>228</v>
      </c>
      <c r="J139" s="5">
        <v>21.08</v>
      </c>
      <c r="K139" s="5">
        <v>2.83</v>
      </c>
      <c r="L139" s="5">
        <v>18.25</v>
      </c>
      <c r="M139" s="11">
        <f t="shared" si="3"/>
        <v>-2</v>
      </c>
      <c r="N139" s="12">
        <f t="shared" si="2"/>
        <v>-36.5</v>
      </c>
    </row>
    <row r="140" spans="1:14" s="4" customFormat="1" ht="12.75">
      <c r="A140" s="9" t="s">
        <v>227</v>
      </c>
      <c r="B140" s="5">
        <v>756</v>
      </c>
      <c r="C140" s="10">
        <v>42877</v>
      </c>
      <c r="D140" s="5" t="str">
        <f>"41701246595"</f>
        <v>41701246595</v>
      </c>
      <c r="E140" s="10">
        <v>42846</v>
      </c>
      <c r="F140" s="5">
        <v>0</v>
      </c>
      <c r="G140" s="10">
        <v>42878</v>
      </c>
      <c r="H140" s="10">
        <v>42880</v>
      </c>
      <c r="I140" s="5" t="s">
        <v>228</v>
      </c>
      <c r="J140" s="5">
        <v>846.2</v>
      </c>
      <c r="K140" s="5">
        <v>152.59</v>
      </c>
      <c r="L140" s="5">
        <v>693.61</v>
      </c>
      <c r="M140" s="11">
        <f t="shared" si="3"/>
        <v>-2</v>
      </c>
      <c r="N140" s="12">
        <f t="shared" si="2"/>
        <v>-1387.22</v>
      </c>
    </row>
    <row r="141" spans="1:14" s="4" customFormat="1" ht="12.75">
      <c r="A141" s="9" t="s">
        <v>227</v>
      </c>
      <c r="B141" s="5">
        <v>760</v>
      </c>
      <c r="C141" s="10">
        <v>42877</v>
      </c>
      <c r="D141" s="5" t="str">
        <f>"41701246593"</f>
        <v>41701246593</v>
      </c>
      <c r="E141" s="10">
        <v>42846</v>
      </c>
      <c r="F141" s="5">
        <v>0</v>
      </c>
      <c r="G141" s="10">
        <v>42878</v>
      </c>
      <c r="H141" s="10">
        <v>42880</v>
      </c>
      <c r="I141" s="5" t="s">
        <v>228</v>
      </c>
      <c r="J141" s="13">
        <v>1855.1</v>
      </c>
      <c r="K141" s="5">
        <v>334.53</v>
      </c>
      <c r="L141" s="13">
        <v>1520.57</v>
      </c>
      <c r="M141" s="11">
        <f t="shared" si="3"/>
        <v>-2</v>
      </c>
      <c r="N141" s="12">
        <f t="shared" si="2"/>
        <v>-3041.14</v>
      </c>
    </row>
    <row r="142" spans="1:14" s="4" customFormat="1" ht="12.75">
      <c r="A142" s="9" t="s">
        <v>227</v>
      </c>
      <c r="B142" s="5">
        <v>752</v>
      </c>
      <c r="C142" s="10">
        <v>42877</v>
      </c>
      <c r="D142" s="5" t="str">
        <f>"41701246596"</f>
        <v>41701246596</v>
      </c>
      <c r="E142" s="10">
        <v>42846</v>
      </c>
      <c r="F142" s="5">
        <v>0</v>
      </c>
      <c r="G142" s="10">
        <v>42878</v>
      </c>
      <c r="H142" s="10">
        <v>42880</v>
      </c>
      <c r="I142" s="5" t="s">
        <v>228</v>
      </c>
      <c r="J142" s="5">
        <v>10.26</v>
      </c>
      <c r="K142" s="5">
        <v>1.85</v>
      </c>
      <c r="L142" s="5">
        <v>8.41</v>
      </c>
      <c r="M142" s="11">
        <f t="shared" si="3"/>
        <v>-2</v>
      </c>
      <c r="N142" s="12">
        <f t="shared" si="2"/>
        <v>-16.82</v>
      </c>
    </row>
    <row r="143" spans="1:14" s="4" customFormat="1" ht="12.75">
      <c r="A143" s="9" t="s">
        <v>227</v>
      </c>
      <c r="B143" s="5">
        <v>754</v>
      </c>
      <c r="C143" s="10">
        <v>42877</v>
      </c>
      <c r="D143" s="5" t="str">
        <f>"41701246599"</f>
        <v>41701246599</v>
      </c>
      <c r="E143" s="10">
        <v>42846</v>
      </c>
      <c r="F143" s="5">
        <v>0</v>
      </c>
      <c r="G143" s="10">
        <v>42878</v>
      </c>
      <c r="H143" s="10">
        <v>42880</v>
      </c>
      <c r="I143" s="5" t="s">
        <v>228</v>
      </c>
      <c r="J143" s="5">
        <v>10.26</v>
      </c>
      <c r="K143" s="5">
        <v>1.85</v>
      </c>
      <c r="L143" s="5">
        <v>8.41</v>
      </c>
      <c r="M143" s="11">
        <f t="shared" si="3"/>
        <v>-2</v>
      </c>
      <c r="N143" s="12">
        <f t="shared" si="2"/>
        <v>-16.82</v>
      </c>
    </row>
    <row r="144" spans="1:14" s="4" customFormat="1" ht="12.75">
      <c r="A144" s="9" t="s">
        <v>227</v>
      </c>
      <c r="B144" s="5">
        <v>762</v>
      </c>
      <c r="C144" s="10">
        <v>42877</v>
      </c>
      <c r="D144" s="5" t="str">
        <f>"41701246597"</f>
        <v>41701246597</v>
      </c>
      <c r="E144" s="10">
        <v>42846</v>
      </c>
      <c r="F144" s="5">
        <v>0</v>
      </c>
      <c r="G144" s="10">
        <v>42878</v>
      </c>
      <c r="H144" s="10">
        <v>42880</v>
      </c>
      <c r="I144" s="5" t="s">
        <v>228</v>
      </c>
      <c r="J144" s="13">
        <v>1553.74</v>
      </c>
      <c r="K144" s="5">
        <v>280.18</v>
      </c>
      <c r="L144" s="13">
        <v>1273.56</v>
      </c>
      <c r="M144" s="11">
        <f t="shared" si="3"/>
        <v>-2</v>
      </c>
      <c r="N144" s="12">
        <f t="shared" si="2"/>
        <v>-2547.12</v>
      </c>
    </row>
    <row r="145" spans="1:14" s="4" customFormat="1" ht="12.75">
      <c r="A145" s="9" t="s">
        <v>227</v>
      </c>
      <c r="B145" s="5">
        <v>755</v>
      </c>
      <c r="C145" s="10">
        <v>42877</v>
      </c>
      <c r="D145" s="5" t="str">
        <f>"41701246594"</f>
        <v>41701246594</v>
      </c>
      <c r="E145" s="10">
        <v>42846</v>
      </c>
      <c r="F145" s="5">
        <v>0</v>
      </c>
      <c r="G145" s="10">
        <v>42878</v>
      </c>
      <c r="H145" s="10">
        <v>42880</v>
      </c>
      <c r="I145" s="5" t="s">
        <v>228</v>
      </c>
      <c r="J145" s="5">
        <v>67.46</v>
      </c>
      <c r="K145" s="5">
        <v>7.05</v>
      </c>
      <c r="L145" s="5">
        <v>60.41</v>
      </c>
      <c r="M145" s="11">
        <f t="shared" si="3"/>
        <v>-2</v>
      </c>
      <c r="N145" s="12">
        <f t="shared" si="2"/>
        <v>-120.82</v>
      </c>
    </row>
    <row r="146" spans="1:14" s="4" customFormat="1" ht="12.75">
      <c r="A146" s="9" t="s">
        <v>227</v>
      </c>
      <c r="B146" s="5">
        <v>759</v>
      </c>
      <c r="C146" s="10">
        <v>42877</v>
      </c>
      <c r="D146" s="5" t="str">
        <f>"41701246603"</f>
        <v>41701246603</v>
      </c>
      <c r="E146" s="10">
        <v>42846</v>
      </c>
      <c r="F146" s="5">
        <v>0</v>
      </c>
      <c r="G146" s="10">
        <v>42878</v>
      </c>
      <c r="H146" s="10">
        <v>42880</v>
      </c>
      <c r="I146" s="5" t="s">
        <v>228</v>
      </c>
      <c r="J146" s="5">
        <v>39.75</v>
      </c>
      <c r="K146" s="5">
        <v>4.53</v>
      </c>
      <c r="L146" s="5">
        <v>35.22</v>
      </c>
      <c r="M146" s="11">
        <f t="shared" si="3"/>
        <v>-2</v>
      </c>
      <c r="N146" s="12">
        <f t="shared" si="2"/>
        <v>-70.44</v>
      </c>
    </row>
    <row r="147" spans="1:14" s="4" customFormat="1" ht="38.25">
      <c r="A147" s="9" t="s">
        <v>35</v>
      </c>
      <c r="B147" s="5">
        <v>341</v>
      </c>
      <c r="C147" s="10">
        <v>42826</v>
      </c>
      <c r="D147" s="5" t="s">
        <v>157</v>
      </c>
      <c r="E147" s="10">
        <v>42766</v>
      </c>
      <c r="F147" s="5">
        <v>0</v>
      </c>
      <c r="G147" s="10">
        <v>42830</v>
      </c>
      <c r="H147" s="10">
        <v>42832</v>
      </c>
      <c r="I147" s="5" t="s">
        <v>228</v>
      </c>
      <c r="J147" s="13">
        <v>4938.82</v>
      </c>
      <c r="K147" s="5">
        <v>235.18</v>
      </c>
      <c r="L147" s="13">
        <v>4703.64</v>
      </c>
      <c r="M147" s="11">
        <f t="shared" si="3"/>
        <v>-2</v>
      </c>
      <c r="N147" s="12">
        <f t="shared" si="2"/>
        <v>-9407.28</v>
      </c>
    </row>
    <row r="148" spans="1:14" s="4" customFormat="1" ht="12.75">
      <c r="A148" s="9" t="s">
        <v>94</v>
      </c>
      <c r="B148" s="5">
        <v>396</v>
      </c>
      <c r="C148" s="10">
        <v>42829</v>
      </c>
      <c r="D148" s="5" t="str">
        <f>"0001106088"</f>
        <v>0001106088</v>
      </c>
      <c r="E148" s="10">
        <v>42794</v>
      </c>
      <c r="F148" s="5">
        <v>0</v>
      </c>
      <c r="G148" s="10">
        <v>42830</v>
      </c>
      <c r="H148" s="10">
        <v>42833</v>
      </c>
      <c r="I148" s="5" t="s">
        <v>228</v>
      </c>
      <c r="J148" s="5">
        <v>625.6</v>
      </c>
      <c r="K148" s="5">
        <v>0</v>
      </c>
      <c r="L148" s="5">
        <v>625.6</v>
      </c>
      <c r="M148" s="11">
        <f t="shared" si="3"/>
        <v>-3</v>
      </c>
      <c r="N148" s="12">
        <f t="shared" si="2"/>
        <v>-1876.8000000000002</v>
      </c>
    </row>
    <row r="149" spans="1:14" s="4" customFormat="1" ht="12.75">
      <c r="A149" s="9" t="s">
        <v>5</v>
      </c>
      <c r="B149" s="5">
        <v>593</v>
      </c>
      <c r="C149" s="10">
        <v>42867</v>
      </c>
      <c r="D149" s="5" t="str">
        <f>"0002100593"</f>
        <v>0002100593</v>
      </c>
      <c r="E149" s="10">
        <v>42825</v>
      </c>
      <c r="F149" s="5">
        <v>0</v>
      </c>
      <c r="G149" s="10">
        <v>42868</v>
      </c>
      <c r="H149" s="10">
        <v>42872</v>
      </c>
      <c r="I149" s="5" t="s">
        <v>228</v>
      </c>
      <c r="J149" s="5">
        <v>51.24</v>
      </c>
      <c r="K149" s="5">
        <v>9.24</v>
      </c>
      <c r="L149" s="5">
        <v>42</v>
      </c>
      <c r="M149" s="11">
        <f t="shared" si="3"/>
        <v>-4</v>
      </c>
      <c r="N149" s="12">
        <f t="shared" si="2"/>
        <v>-168</v>
      </c>
    </row>
    <row r="150" spans="1:14" s="4" customFormat="1" ht="25.5">
      <c r="A150" s="9" t="s">
        <v>107</v>
      </c>
      <c r="B150" s="5">
        <v>432</v>
      </c>
      <c r="C150" s="10">
        <v>42843</v>
      </c>
      <c r="D150" s="5" t="s">
        <v>108</v>
      </c>
      <c r="E150" s="10">
        <v>42781</v>
      </c>
      <c r="F150" s="5">
        <v>0</v>
      </c>
      <c r="G150" s="10">
        <v>42843</v>
      </c>
      <c r="H150" s="10">
        <v>42848</v>
      </c>
      <c r="I150" s="5" t="s">
        <v>228</v>
      </c>
      <c r="J150" s="13">
        <v>5852.75</v>
      </c>
      <c r="K150" s="13">
        <v>1055.41</v>
      </c>
      <c r="L150" s="13">
        <v>4797.34</v>
      </c>
      <c r="M150" s="11">
        <f t="shared" si="3"/>
        <v>-5</v>
      </c>
      <c r="N150" s="12">
        <f t="shared" si="2"/>
        <v>-23986.7</v>
      </c>
    </row>
    <row r="151" spans="1:14" s="4" customFormat="1" ht="12.75">
      <c r="A151" s="9" t="s">
        <v>114</v>
      </c>
      <c r="B151" s="5">
        <v>540</v>
      </c>
      <c r="C151" s="10">
        <v>42851</v>
      </c>
      <c r="D151" s="16" t="s">
        <v>158</v>
      </c>
      <c r="E151" s="10">
        <v>42772</v>
      </c>
      <c r="F151" s="5">
        <v>0</v>
      </c>
      <c r="G151" s="10">
        <v>42852</v>
      </c>
      <c r="H151" s="10">
        <v>42857</v>
      </c>
      <c r="I151" s="5" t="s">
        <v>228</v>
      </c>
      <c r="J151" s="5">
        <v>151.06</v>
      </c>
      <c r="K151" s="5">
        <v>26.39</v>
      </c>
      <c r="L151" s="5">
        <v>124.67</v>
      </c>
      <c r="M151" s="11">
        <f t="shared" si="3"/>
        <v>-5</v>
      </c>
      <c r="N151" s="12">
        <f t="shared" si="2"/>
        <v>-623.35</v>
      </c>
    </row>
    <row r="152" spans="1:14" s="4" customFormat="1" ht="12.75">
      <c r="A152" s="9" t="s">
        <v>114</v>
      </c>
      <c r="B152" s="5">
        <v>544</v>
      </c>
      <c r="C152" s="10">
        <v>42851</v>
      </c>
      <c r="D152" s="16" t="s">
        <v>159</v>
      </c>
      <c r="E152" s="10">
        <v>42772</v>
      </c>
      <c r="F152" s="5">
        <v>0</v>
      </c>
      <c r="G152" s="10">
        <v>42852</v>
      </c>
      <c r="H152" s="10">
        <v>42857</v>
      </c>
      <c r="I152" s="5" t="s">
        <v>228</v>
      </c>
      <c r="J152" s="5">
        <v>111.37</v>
      </c>
      <c r="K152" s="5">
        <v>20.08</v>
      </c>
      <c r="L152" s="5">
        <v>91.29</v>
      </c>
      <c r="M152" s="11">
        <f t="shared" si="3"/>
        <v>-5</v>
      </c>
      <c r="N152" s="12">
        <f t="shared" si="2"/>
        <v>-456.45000000000005</v>
      </c>
    </row>
    <row r="153" spans="1:14" s="4" customFormat="1" ht="12.75">
      <c r="A153" s="9" t="s">
        <v>114</v>
      </c>
      <c r="B153" s="5">
        <v>546</v>
      </c>
      <c r="C153" s="10">
        <v>42851</v>
      </c>
      <c r="D153" s="16" t="s">
        <v>160</v>
      </c>
      <c r="E153" s="10">
        <v>42772</v>
      </c>
      <c r="F153" s="5">
        <v>0</v>
      </c>
      <c r="G153" s="10">
        <v>42852</v>
      </c>
      <c r="H153" s="10">
        <v>42857</v>
      </c>
      <c r="I153" s="5" t="s">
        <v>228</v>
      </c>
      <c r="J153" s="5">
        <v>67.4</v>
      </c>
      <c r="K153" s="5">
        <v>11.66</v>
      </c>
      <c r="L153" s="5">
        <v>55.74</v>
      </c>
      <c r="M153" s="11">
        <f t="shared" si="3"/>
        <v>-5</v>
      </c>
      <c r="N153" s="12">
        <f t="shared" si="2"/>
        <v>-278.7</v>
      </c>
    </row>
    <row r="154" spans="1:14" s="4" customFormat="1" ht="12.75">
      <c r="A154" s="9" t="s">
        <v>114</v>
      </c>
      <c r="B154" s="5">
        <v>545</v>
      </c>
      <c r="C154" s="10">
        <v>42851</v>
      </c>
      <c r="D154" s="16" t="s">
        <v>161</v>
      </c>
      <c r="E154" s="10">
        <v>42772</v>
      </c>
      <c r="F154" s="5">
        <v>0</v>
      </c>
      <c r="G154" s="10">
        <v>42852</v>
      </c>
      <c r="H154" s="10">
        <v>42857</v>
      </c>
      <c r="I154" s="5" t="s">
        <v>228</v>
      </c>
      <c r="J154" s="5">
        <v>106.27</v>
      </c>
      <c r="K154" s="5">
        <v>19.16</v>
      </c>
      <c r="L154" s="5">
        <v>87.11</v>
      </c>
      <c r="M154" s="11">
        <f t="shared" si="3"/>
        <v>-5</v>
      </c>
      <c r="N154" s="12">
        <f t="shared" si="2"/>
        <v>-435.55</v>
      </c>
    </row>
    <row r="155" spans="1:14" s="4" customFormat="1" ht="12.75">
      <c r="A155" s="9" t="s">
        <v>114</v>
      </c>
      <c r="B155" s="5">
        <v>544</v>
      </c>
      <c r="C155" s="10">
        <v>42851</v>
      </c>
      <c r="D155" s="16" t="s">
        <v>162</v>
      </c>
      <c r="E155" s="10">
        <v>42772</v>
      </c>
      <c r="F155" s="5">
        <v>0</v>
      </c>
      <c r="G155" s="10">
        <v>42852</v>
      </c>
      <c r="H155" s="10">
        <v>42857</v>
      </c>
      <c r="I155" s="5" t="s">
        <v>228</v>
      </c>
      <c r="J155" s="5">
        <v>215.65</v>
      </c>
      <c r="K155" s="5">
        <v>38.89</v>
      </c>
      <c r="L155" s="5">
        <v>176.76</v>
      </c>
      <c r="M155" s="11">
        <f t="shared" si="3"/>
        <v>-5</v>
      </c>
      <c r="N155" s="12">
        <f t="shared" si="2"/>
        <v>-883.8</v>
      </c>
    </row>
    <row r="156" spans="1:14" s="4" customFormat="1" ht="12.75">
      <c r="A156" s="9" t="s">
        <v>114</v>
      </c>
      <c r="B156" s="5">
        <v>544</v>
      </c>
      <c r="C156" s="10">
        <v>42851</v>
      </c>
      <c r="D156" s="16" t="s">
        <v>163</v>
      </c>
      <c r="E156" s="10">
        <v>42772</v>
      </c>
      <c r="F156" s="5">
        <v>0</v>
      </c>
      <c r="G156" s="10">
        <v>42852</v>
      </c>
      <c r="H156" s="10">
        <v>42857</v>
      </c>
      <c r="I156" s="5" t="s">
        <v>228</v>
      </c>
      <c r="J156" s="5">
        <v>60.76</v>
      </c>
      <c r="K156" s="5">
        <v>10.96</v>
      </c>
      <c r="L156" s="5">
        <v>49.8</v>
      </c>
      <c r="M156" s="11">
        <f t="shared" si="3"/>
        <v>-5</v>
      </c>
      <c r="N156" s="12">
        <f t="shared" si="2"/>
        <v>-249</v>
      </c>
    </row>
    <row r="157" spans="1:14" s="4" customFormat="1" ht="12.75">
      <c r="A157" s="9" t="s">
        <v>114</v>
      </c>
      <c r="B157" s="5">
        <v>544</v>
      </c>
      <c r="C157" s="10">
        <v>42851</v>
      </c>
      <c r="D157" s="16" t="s">
        <v>164</v>
      </c>
      <c r="E157" s="10">
        <v>42772</v>
      </c>
      <c r="F157" s="5">
        <v>0</v>
      </c>
      <c r="G157" s="10">
        <v>42852</v>
      </c>
      <c r="H157" s="10">
        <v>42857</v>
      </c>
      <c r="I157" s="5" t="s">
        <v>228</v>
      </c>
      <c r="J157" s="5">
        <v>61.26</v>
      </c>
      <c r="K157" s="5">
        <v>11.05</v>
      </c>
      <c r="L157" s="5">
        <v>50.21</v>
      </c>
      <c r="M157" s="11">
        <f t="shared" si="3"/>
        <v>-5</v>
      </c>
      <c r="N157" s="12">
        <f t="shared" si="2"/>
        <v>-251.05</v>
      </c>
    </row>
    <row r="158" spans="1:14" s="4" customFormat="1" ht="12.75">
      <c r="A158" s="9" t="s">
        <v>114</v>
      </c>
      <c r="B158" s="5">
        <v>544</v>
      </c>
      <c r="C158" s="10">
        <v>42851</v>
      </c>
      <c r="D158" s="16" t="s">
        <v>165</v>
      </c>
      <c r="E158" s="10">
        <v>42772</v>
      </c>
      <c r="F158" s="5">
        <v>0</v>
      </c>
      <c r="G158" s="10">
        <v>42852</v>
      </c>
      <c r="H158" s="10">
        <v>42857</v>
      </c>
      <c r="I158" s="5" t="s">
        <v>228</v>
      </c>
      <c r="J158" s="5">
        <v>60.76</v>
      </c>
      <c r="K158" s="5">
        <v>10.96</v>
      </c>
      <c r="L158" s="5">
        <v>49.8</v>
      </c>
      <c r="M158" s="11">
        <f t="shared" si="3"/>
        <v>-5</v>
      </c>
      <c r="N158" s="12">
        <f t="shared" si="2"/>
        <v>-249</v>
      </c>
    </row>
    <row r="159" spans="1:14" s="4" customFormat="1" ht="12.75">
      <c r="A159" s="9" t="s">
        <v>114</v>
      </c>
      <c r="B159" s="5">
        <v>544</v>
      </c>
      <c r="C159" s="10">
        <v>42851</v>
      </c>
      <c r="D159" s="16" t="s">
        <v>166</v>
      </c>
      <c r="E159" s="10">
        <v>42772</v>
      </c>
      <c r="F159" s="5">
        <v>0</v>
      </c>
      <c r="G159" s="10">
        <v>42852</v>
      </c>
      <c r="H159" s="10">
        <v>42857</v>
      </c>
      <c r="I159" s="5" t="s">
        <v>228</v>
      </c>
      <c r="J159" s="5">
        <v>91.54</v>
      </c>
      <c r="K159" s="5">
        <v>16.51</v>
      </c>
      <c r="L159" s="5">
        <v>75.03</v>
      </c>
      <c r="M159" s="11">
        <f t="shared" si="1"/>
        <v>-5</v>
      </c>
      <c r="N159" s="12">
        <f t="shared" si="2"/>
        <v>-375.15</v>
      </c>
    </row>
    <row r="160" spans="1:14" s="4" customFormat="1" ht="12.75">
      <c r="A160" s="9" t="s">
        <v>114</v>
      </c>
      <c r="B160" s="5">
        <v>544</v>
      </c>
      <c r="C160" s="10">
        <v>42851</v>
      </c>
      <c r="D160" s="16" t="s">
        <v>167</v>
      </c>
      <c r="E160" s="10">
        <v>42772</v>
      </c>
      <c r="F160" s="5">
        <v>0</v>
      </c>
      <c r="G160" s="10">
        <v>42852</v>
      </c>
      <c r="H160" s="10">
        <v>42857</v>
      </c>
      <c r="I160" s="5" t="s">
        <v>228</v>
      </c>
      <c r="J160" s="5">
        <v>128.47</v>
      </c>
      <c r="K160" s="5">
        <v>23.17</v>
      </c>
      <c r="L160" s="5">
        <v>105.3</v>
      </c>
      <c r="M160" s="11">
        <f t="shared" si="3"/>
        <v>-5</v>
      </c>
      <c r="N160" s="12">
        <f t="shared" si="2"/>
        <v>-526.5</v>
      </c>
    </row>
    <row r="161" spans="1:14" s="4" customFormat="1" ht="12.75">
      <c r="A161" s="9" t="s">
        <v>114</v>
      </c>
      <c r="B161" s="5">
        <v>542</v>
      </c>
      <c r="C161" s="10">
        <v>42851</v>
      </c>
      <c r="D161" s="16" t="s">
        <v>168</v>
      </c>
      <c r="E161" s="10">
        <v>42772</v>
      </c>
      <c r="F161" s="5">
        <v>0</v>
      </c>
      <c r="G161" s="10">
        <v>42852</v>
      </c>
      <c r="H161" s="10">
        <v>42857</v>
      </c>
      <c r="I161" s="5" t="s">
        <v>228</v>
      </c>
      <c r="J161" s="5">
        <v>145.57</v>
      </c>
      <c r="K161" s="5">
        <v>25.45</v>
      </c>
      <c r="L161" s="5">
        <v>120.12</v>
      </c>
      <c r="M161" s="11">
        <f t="shared" si="3"/>
        <v>-5</v>
      </c>
      <c r="N161" s="12">
        <f t="shared" si="2"/>
        <v>-600.6</v>
      </c>
    </row>
    <row r="162" spans="1:14" s="4" customFormat="1" ht="12.75">
      <c r="A162" s="9" t="s">
        <v>169</v>
      </c>
      <c r="B162" s="5">
        <v>427</v>
      </c>
      <c r="C162" s="10">
        <v>42837</v>
      </c>
      <c r="D162" s="5" t="s">
        <v>170</v>
      </c>
      <c r="E162" s="10">
        <v>42481</v>
      </c>
      <c r="F162" s="5">
        <v>0</v>
      </c>
      <c r="G162" s="10">
        <v>42843</v>
      </c>
      <c r="H162" s="10">
        <v>42848</v>
      </c>
      <c r="I162" s="5" t="s">
        <v>228</v>
      </c>
      <c r="J162" s="5">
        <v>61</v>
      </c>
      <c r="K162" s="5">
        <v>11</v>
      </c>
      <c r="L162" s="5">
        <v>50</v>
      </c>
      <c r="M162" s="11">
        <f t="shared" si="3"/>
        <v>-5</v>
      </c>
      <c r="N162" s="12">
        <f t="shared" si="2"/>
        <v>-250</v>
      </c>
    </row>
    <row r="163" spans="1:14" s="4" customFormat="1" ht="12.75">
      <c r="A163" s="9" t="s">
        <v>171</v>
      </c>
      <c r="B163" s="5">
        <v>381</v>
      </c>
      <c r="C163" s="10">
        <v>42828</v>
      </c>
      <c r="D163" s="5" t="s">
        <v>172</v>
      </c>
      <c r="E163" s="10">
        <v>42775</v>
      </c>
      <c r="F163" s="5">
        <v>0</v>
      </c>
      <c r="G163" s="10">
        <v>42830</v>
      </c>
      <c r="H163" s="10">
        <v>42835</v>
      </c>
      <c r="I163" s="5" t="s">
        <v>228</v>
      </c>
      <c r="J163" s="5">
        <v>228.75</v>
      </c>
      <c r="K163" s="5">
        <v>41.25</v>
      </c>
      <c r="L163" s="5">
        <v>187.5</v>
      </c>
      <c r="M163" s="11">
        <f aca="true" t="shared" si="4" ref="M163:M192">+G163-H163</f>
        <v>-5</v>
      </c>
      <c r="N163" s="12">
        <f t="shared" si="2"/>
        <v>-937.5</v>
      </c>
    </row>
    <row r="164" spans="1:14" s="4" customFormat="1" ht="12.75">
      <c r="A164" s="9" t="s">
        <v>6</v>
      </c>
      <c r="B164" s="5">
        <v>912</v>
      </c>
      <c r="C164" s="10">
        <v>42896</v>
      </c>
      <c r="D164" s="5" t="str">
        <f>"0000037"</f>
        <v>0000037</v>
      </c>
      <c r="E164" s="10">
        <v>42855</v>
      </c>
      <c r="F164" s="5">
        <v>0</v>
      </c>
      <c r="G164" s="10">
        <v>42896</v>
      </c>
      <c r="H164" s="10">
        <v>42901</v>
      </c>
      <c r="I164" s="5" t="s">
        <v>26</v>
      </c>
      <c r="J164" s="13">
        <v>1145.58</v>
      </c>
      <c r="K164" s="5">
        <v>206.58</v>
      </c>
      <c r="L164" s="5">
        <v>939</v>
      </c>
      <c r="M164" s="11">
        <f t="shared" si="4"/>
        <v>-5</v>
      </c>
      <c r="N164" s="12">
        <f t="shared" si="2"/>
        <v>-4695</v>
      </c>
    </row>
    <row r="165" spans="1:14" s="4" customFormat="1" ht="12.75">
      <c r="A165" s="9" t="s">
        <v>173</v>
      </c>
      <c r="B165" s="5">
        <v>361</v>
      </c>
      <c r="C165" s="10">
        <v>42826</v>
      </c>
      <c r="D165" s="5" t="str">
        <f>"0000002651"</f>
        <v>0000002651</v>
      </c>
      <c r="E165" s="10">
        <v>42775</v>
      </c>
      <c r="F165" s="5">
        <v>0</v>
      </c>
      <c r="G165" s="10">
        <v>42830</v>
      </c>
      <c r="H165" s="10">
        <v>42835</v>
      </c>
      <c r="I165" s="5" t="s">
        <v>228</v>
      </c>
      <c r="J165" s="5">
        <v>60.87</v>
      </c>
      <c r="K165" s="5">
        <v>10.98</v>
      </c>
      <c r="L165" s="5">
        <v>49.89</v>
      </c>
      <c r="M165" s="11">
        <f t="shared" si="4"/>
        <v>-5</v>
      </c>
      <c r="N165" s="12">
        <f t="shared" si="2"/>
        <v>-249.45</v>
      </c>
    </row>
    <row r="166" spans="1:14" s="4" customFormat="1" ht="12.75">
      <c r="A166" s="9" t="s">
        <v>173</v>
      </c>
      <c r="B166" s="5">
        <v>360</v>
      </c>
      <c r="C166" s="10">
        <v>42826</v>
      </c>
      <c r="D166" s="5" t="str">
        <f>"0000002652"</f>
        <v>0000002652</v>
      </c>
      <c r="E166" s="10">
        <v>42775</v>
      </c>
      <c r="F166" s="5">
        <v>0</v>
      </c>
      <c r="G166" s="10">
        <v>42830</v>
      </c>
      <c r="H166" s="10">
        <v>42835</v>
      </c>
      <c r="I166" s="5" t="s">
        <v>228</v>
      </c>
      <c r="J166" s="5">
        <v>66.44</v>
      </c>
      <c r="K166" s="5">
        <v>11.98</v>
      </c>
      <c r="L166" s="5">
        <v>54.46</v>
      </c>
      <c r="M166" s="11">
        <f t="shared" si="4"/>
        <v>-5</v>
      </c>
      <c r="N166" s="12">
        <f t="shared" si="2"/>
        <v>-272.3</v>
      </c>
    </row>
    <row r="167" spans="1:14" s="4" customFormat="1" ht="25.5">
      <c r="A167" s="9" t="s">
        <v>107</v>
      </c>
      <c r="B167" s="5">
        <v>432</v>
      </c>
      <c r="C167" s="10">
        <v>42843</v>
      </c>
      <c r="D167" s="5" t="s">
        <v>109</v>
      </c>
      <c r="E167" s="10">
        <v>42781</v>
      </c>
      <c r="F167" s="5">
        <v>0</v>
      </c>
      <c r="G167" s="10">
        <v>42843</v>
      </c>
      <c r="H167" s="10">
        <v>42849</v>
      </c>
      <c r="I167" s="5" t="s">
        <v>228</v>
      </c>
      <c r="J167" s="13">
        <v>4877.29</v>
      </c>
      <c r="K167" s="5">
        <v>879.51</v>
      </c>
      <c r="L167" s="13">
        <v>3997.78</v>
      </c>
      <c r="M167" s="11">
        <f t="shared" si="4"/>
        <v>-6</v>
      </c>
      <c r="N167" s="12">
        <f t="shared" si="2"/>
        <v>-23986.68</v>
      </c>
    </row>
    <row r="168" spans="1:14" s="4" customFormat="1" ht="12.75">
      <c r="A168" s="9" t="s">
        <v>169</v>
      </c>
      <c r="B168" s="5">
        <v>428</v>
      </c>
      <c r="C168" s="10">
        <v>42837</v>
      </c>
      <c r="D168" s="5" t="s">
        <v>174</v>
      </c>
      <c r="E168" s="10">
        <v>42481</v>
      </c>
      <c r="F168" s="5">
        <v>0</v>
      </c>
      <c r="G168" s="10">
        <v>42843</v>
      </c>
      <c r="H168" s="10">
        <v>42849</v>
      </c>
      <c r="I168" s="5" t="s">
        <v>228</v>
      </c>
      <c r="J168" s="5">
        <v>446.52</v>
      </c>
      <c r="K168" s="5">
        <v>80.52</v>
      </c>
      <c r="L168" s="5">
        <v>366</v>
      </c>
      <c r="M168" s="11">
        <f t="shared" si="4"/>
        <v>-6</v>
      </c>
      <c r="N168" s="12">
        <f t="shared" si="2"/>
        <v>-2196</v>
      </c>
    </row>
    <row r="169" spans="1:14" s="4" customFormat="1" ht="25.5">
      <c r="A169" s="9" t="s">
        <v>175</v>
      </c>
      <c r="B169" s="5">
        <v>911</v>
      </c>
      <c r="C169" s="10">
        <v>42896</v>
      </c>
      <c r="D169" s="5" t="s">
        <v>176</v>
      </c>
      <c r="E169" s="10">
        <v>42872</v>
      </c>
      <c r="F169" s="5">
        <v>0</v>
      </c>
      <c r="G169" s="10">
        <v>42896</v>
      </c>
      <c r="H169" s="10">
        <v>42902</v>
      </c>
      <c r="I169" s="5" t="s">
        <v>228</v>
      </c>
      <c r="J169" s="5">
        <v>506.3</v>
      </c>
      <c r="K169" s="5">
        <v>91.3</v>
      </c>
      <c r="L169" s="5">
        <v>415</v>
      </c>
      <c r="M169" s="11">
        <f t="shared" si="4"/>
        <v>-6</v>
      </c>
      <c r="N169" s="12">
        <f t="shared" si="2"/>
        <v>-2490</v>
      </c>
    </row>
    <row r="170" spans="1:14" s="4" customFormat="1" ht="12.75">
      <c r="A170" s="9" t="s">
        <v>9</v>
      </c>
      <c r="B170" s="5">
        <v>706</v>
      </c>
      <c r="C170" s="10">
        <v>42868</v>
      </c>
      <c r="D170" s="5" t="s">
        <v>185</v>
      </c>
      <c r="E170" s="10">
        <v>42845</v>
      </c>
      <c r="F170" s="5">
        <v>0</v>
      </c>
      <c r="G170" s="10">
        <v>42868</v>
      </c>
      <c r="H170" s="10">
        <v>42876</v>
      </c>
      <c r="I170" s="5" t="s">
        <v>26</v>
      </c>
      <c r="J170" s="13">
        <v>1804.38</v>
      </c>
      <c r="K170" s="5">
        <v>325.38</v>
      </c>
      <c r="L170" s="13">
        <v>1479</v>
      </c>
      <c r="M170" s="11">
        <f t="shared" si="4"/>
        <v>-8</v>
      </c>
      <c r="N170" s="12">
        <f t="shared" si="2"/>
        <v>-11832</v>
      </c>
    </row>
    <row r="171" spans="1:14" s="4" customFormat="1" ht="12.75">
      <c r="A171" s="9" t="s">
        <v>6</v>
      </c>
      <c r="B171" s="5">
        <v>708</v>
      </c>
      <c r="C171" s="10">
        <v>42868</v>
      </c>
      <c r="D171" s="5" t="s">
        <v>186</v>
      </c>
      <c r="E171" s="10">
        <v>42825</v>
      </c>
      <c r="F171" s="5">
        <v>0</v>
      </c>
      <c r="G171" s="10">
        <v>42868</v>
      </c>
      <c r="H171" s="10">
        <v>42876</v>
      </c>
      <c r="I171" s="5" t="s">
        <v>26</v>
      </c>
      <c r="J171" s="13">
        <v>1145.58</v>
      </c>
      <c r="K171" s="5">
        <v>206.58</v>
      </c>
      <c r="L171" s="5">
        <v>939</v>
      </c>
      <c r="M171" s="11">
        <f t="shared" si="4"/>
        <v>-8</v>
      </c>
      <c r="N171" s="12">
        <f t="shared" si="2"/>
        <v>-7512</v>
      </c>
    </row>
    <row r="172" spans="1:14" s="4" customFormat="1" ht="12.75">
      <c r="A172" s="9" t="s">
        <v>13</v>
      </c>
      <c r="B172" s="5">
        <v>934</v>
      </c>
      <c r="C172" s="10">
        <v>42900</v>
      </c>
      <c r="D172" s="5" t="s">
        <v>187</v>
      </c>
      <c r="E172" s="10">
        <v>42870</v>
      </c>
      <c r="F172" s="5">
        <v>0</v>
      </c>
      <c r="G172" s="10">
        <v>42900</v>
      </c>
      <c r="H172" s="10">
        <v>42909</v>
      </c>
      <c r="I172" s="5" t="s">
        <v>26</v>
      </c>
      <c r="J172" s="5">
        <v>896.78</v>
      </c>
      <c r="K172" s="5">
        <v>32.62</v>
      </c>
      <c r="L172" s="5">
        <v>864.16</v>
      </c>
      <c r="M172" s="11">
        <f t="shared" si="4"/>
        <v>-9</v>
      </c>
      <c r="N172" s="12">
        <f t="shared" si="2"/>
        <v>-7777.44</v>
      </c>
    </row>
    <row r="173" spans="1:14" s="4" customFormat="1" ht="12.75">
      <c r="A173" s="9" t="s">
        <v>13</v>
      </c>
      <c r="B173" s="5">
        <v>934</v>
      </c>
      <c r="C173" s="10">
        <v>42900</v>
      </c>
      <c r="D173" s="5" t="s">
        <v>188</v>
      </c>
      <c r="E173" s="10">
        <v>42870</v>
      </c>
      <c r="F173" s="5">
        <v>0</v>
      </c>
      <c r="G173" s="10">
        <v>42900</v>
      </c>
      <c r="H173" s="10">
        <v>42909</v>
      </c>
      <c r="I173" s="5" t="s">
        <v>26</v>
      </c>
      <c r="J173" s="5">
        <v>797.3</v>
      </c>
      <c r="K173" s="5">
        <v>29</v>
      </c>
      <c r="L173" s="5">
        <v>768.3</v>
      </c>
      <c r="M173" s="11">
        <f t="shared" si="4"/>
        <v>-9</v>
      </c>
      <c r="N173" s="12">
        <f t="shared" si="2"/>
        <v>-6914.7</v>
      </c>
    </row>
    <row r="174" spans="1:14" s="4" customFormat="1" ht="12.75">
      <c r="A174" s="9" t="s">
        <v>13</v>
      </c>
      <c r="B174" s="5">
        <v>934</v>
      </c>
      <c r="C174" s="10">
        <v>42900</v>
      </c>
      <c r="D174" s="5" t="s">
        <v>189</v>
      </c>
      <c r="E174" s="10">
        <v>42870</v>
      </c>
      <c r="F174" s="5">
        <v>0</v>
      </c>
      <c r="G174" s="10">
        <v>42900</v>
      </c>
      <c r="H174" s="10">
        <v>42909</v>
      </c>
      <c r="I174" s="5" t="s">
        <v>26</v>
      </c>
      <c r="J174" s="5">
        <v>773.02</v>
      </c>
      <c r="K174" s="5">
        <v>28.11</v>
      </c>
      <c r="L174" s="5">
        <v>744.91</v>
      </c>
      <c r="M174" s="11">
        <f t="shared" si="4"/>
        <v>-9</v>
      </c>
      <c r="N174" s="12">
        <f t="shared" si="2"/>
        <v>-6704.19</v>
      </c>
    </row>
    <row r="175" spans="1:14" s="4" customFormat="1" ht="12.75">
      <c r="A175" s="9" t="s">
        <v>190</v>
      </c>
      <c r="B175" s="5">
        <v>374</v>
      </c>
      <c r="C175" s="10">
        <v>42828</v>
      </c>
      <c r="D175" s="5" t="s">
        <v>191</v>
      </c>
      <c r="E175" s="10">
        <v>42779</v>
      </c>
      <c r="F175" s="5">
        <v>0</v>
      </c>
      <c r="G175" s="10">
        <v>42830</v>
      </c>
      <c r="H175" s="10">
        <v>42839</v>
      </c>
      <c r="I175" s="5" t="s">
        <v>228</v>
      </c>
      <c r="J175" s="13">
        <v>3045.12</v>
      </c>
      <c r="K175" s="5">
        <v>0</v>
      </c>
      <c r="L175" s="13">
        <v>3045.12</v>
      </c>
      <c r="M175" s="11">
        <f t="shared" si="4"/>
        <v>-9</v>
      </c>
      <c r="N175" s="12">
        <f t="shared" si="2"/>
        <v>-27406.079999999998</v>
      </c>
    </row>
    <row r="176" spans="1:14" s="4" customFormat="1" ht="25.5">
      <c r="A176" s="9" t="s">
        <v>192</v>
      </c>
      <c r="B176" s="5">
        <v>363</v>
      </c>
      <c r="C176" s="10">
        <v>42826</v>
      </c>
      <c r="D176" s="5" t="s">
        <v>230</v>
      </c>
      <c r="E176" s="10">
        <v>42780</v>
      </c>
      <c r="F176" s="5">
        <v>0</v>
      </c>
      <c r="G176" s="10">
        <v>42830</v>
      </c>
      <c r="H176" s="10">
        <v>42839</v>
      </c>
      <c r="I176" s="5" t="s">
        <v>228</v>
      </c>
      <c r="J176" s="13">
        <v>1427.4</v>
      </c>
      <c r="K176" s="5">
        <v>257.4</v>
      </c>
      <c r="L176" s="13">
        <v>1170</v>
      </c>
      <c r="M176" s="11">
        <f t="shared" si="4"/>
        <v>-9</v>
      </c>
      <c r="N176" s="12">
        <f t="shared" si="2"/>
        <v>-10530</v>
      </c>
    </row>
    <row r="177" spans="1:14" s="4" customFormat="1" ht="25.5">
      <c r="A177" s="9" t="s">
        <v>192</v>
      </c>
      <c r="B177" s="5">
        <v>364</v>
      </c>
      <c r="C177" s="10">
        <v>42826</v>
      </c>
      <c r="D177" s="5" t="s">
        <v>113</v>
      </c>
      <c r="E177" s="10">
        <v>42780</v>
      </c>
      <c r="F177" s="5">
        <v>0</v>
      </c>
      <c r="G177" s="10">
        <v>42830</v>
      </c>
      <c r="H177" s="10">
        <v>42839</v>
      </c>
      <c r="I177" s="5" t="s">
        <v>228</v>
      </c>
      <c r="J177" s="13">
        <v>1579.9</v>
      </c>
      <c r="K177" s="5">
        <v>284.9</v>
      </c>
      <c r="L177" s="13">
        <v>1295</v>
      </c>
      <c r="M177" s="11">
        <f t="shared" si="4"/>
        <v>-9</v>
      </c>
      <c r="N177" s="12">
        <f t="shared" si="2"/>
        <v>-11655</v>
      </c>
    </row>
    <row r="178" spans="1:14" s="4" customFormat="1" ht="12.75">
      <c r="A178" s="9" t="s">
        <v>4</v>
      </c>
      <c r="B178" s="5">
        <v>397</v>
      </c>
      <c r="C178" s="10">
        <v>42829</v>
      </c>
      <c r="D178" s="5" t="str">
        <f>"2017900131"</f>
        <v>2017900131</v>
      </c>
      <c r="E178" s="10">
        <v>42794</v>
      </c>
      <c r="F178" s="5">
        <v>0</v>
      </c>
      <c r="G178" s="10">
        <v>42830</v>
      </c>
      <c r="H178" s="10">
        <v>42839</v>
      </c>
      <c r="I178" s="5" t="s">
        <v>26</v>
      </c>
      <c r="J178" s="5">
        <v>927.2</v>
      </c>
      <c r="K178" s="5">
        <v>167.2</v>
      </c>
      <c r="L178" s="5">
        <v>760</v>
      </c>
      <c r="M178" s="11">
        <f t="shared" si="4"/>
        <v>-9</v>
      </c>
      <c r="N178" s="12">
        <f t="shared" si="2"/>
        <v>-6840</v>
      </c>
    </row>
    <row r="179" spans="1:14" s="4" customFormat="1" ht="12.75">
      <c r="A179" s="9" t="s">
        <v>231</v>
      </c>
      <c r="B179" s="5">
        <v>796</v>
      </c>
      <c r="C179" s="10">
        <v>42878</v>
      </c>
      <c r="D179" s="5" t="s">
        <v>139</v>
      </c>
      <c r="E179" s="10">
        <v>42857</v>
      </c>
      <c r="F179" s="5">
        <v>0</v>
      </c>
      <c r="G179" s="10">
        <v>42878</v>
      </c>
      <c r="H179" s="10">
        <v>42888</v>
      </c>
      <c r="I179" s="5" t="s">
        <v>228</v>
      </c>
      <c r="J179" s="5">
        <v>312.31</v>
      </c>
      <c r="K179" s="5">
        <v>56.32</v>
      </c>
      <c r="L179" s="5">
        <v>255.99</v>
      </c>
      <c r="M179" s="11">
        <f t="shared" si="4"/>
        <v>-10</v>
      </c>
      <c r="N179" s="12">
        <f t="shared" si="2"/>
        <v>-2559.9</v>
      </c>
    </row>
    <row r="180" spans="1:14" s="4" customFormat="1" ht="12.75">
      <c r="A180" s="9" t="s">
        <v>231</v>
      </c>
      <c r="B180" s="5">
        <v>797</v>
      </c>
      <c r="C180" s="10">
        <v>42878</v>
      </c>
      <c r="D180" s="5" t="s">
        <v>140</v>
      </c>
      <c r="E180" s="10">
        <v>42857</v>
      </c>
      <c r="F180" s="5">
        <v>0</v>
      </c>
      <c r="G180" s="10">
        <v>42878</v>
      </c>
      <c r="H180" s="10">
        <v>42888</v>
      </c>
      <c r="I180" s="5" t="s">
        <v>228</v>
      </c>
      <c r="J180" s="5">
        <v>193.35</v>
      </c>
      <c r="K180" s="5">
        <v>34.87</v>
      </c>
      <c r="L180" s="5">
        <v>158.48</v>
      </c>
      <c r="M180" s="11">
        <f t="shared" si="4"/>
        <v>-10</v>
      </c>
      <c r="N180" s="12">
        <f t="shared" si="2"/>
        <v>-1584.8</v>
      </c>
    </row>
    <row r="181" spans="1:14" s="4" customFormat="1" ht="12.75">
      <c r="A181" s="9" t="s">
        <v>231</v>
      </c>
      <c r="B181" s="5">
        <v>744</v>
      </c>
      <c r="C181" s="10">
        <v>42875</v>
      </c>
      <c r="D181" s="5" t="s">
        <v>141</v>
      </c>
      <c r="E181" s="10">
        <v>42857</v>
      </c>
      <c r="F181" s="5">
        <v>0</v>
      </c>
      <c r="G181" s="10">
        <v>42878</v>
      </c>
      <c r="H181" s="10">
        <v>42888</v>
      </c>
      <c r="I181" s="5" t="s">
        <v>228</v>
      </c>
      <c r="J181" s="5">
        <v>342.05</v>
      </c>
      <c r="K181" s="5">
        <v>61.68</v>
      </c>
      <c r="L181" s="5">
        <v>280.37</v>
      </c>
      <c r="M181" s="11">
        <f t="shared" si="4"/>
        <v>-10</v>
      </c>
      <c r="N181" s="12">
        <f t="shared" si="2"/>
        <v>-2803.7</v>
      </c>
    </row>
    <row r="182" spans="1:14" s="4" customFormat="1" ht="12.75">
      <c r="A182" s="9" t="s">
        <v>231</v>
      </c>
      <c r="B182" s="5">
        <v>741</v>
      </c>
      <c r="C182" s="10">
        <v>42875</v>
      </c>
      <c r="D182" s="5" t="s">
        <v>142</v>
      </c>
      <c r="E182" s="10">
        <v>42857</v>
      </c>
      <c r="F182" s="5">
        <v>0</v>
      </c>
      <c r="G182" s="10">
        <v>42878</v>
      </c>
      <c r="H182" s="10">
        <v>42888</v>
      </c>
      <c r="I182" s="5" t="s">
        <v>228</v>
      </c>
      <c r="J182" s="5">
        <v>116.13</v>
      </c>
      <c r="K182" s="5">
        <v>20.94</v>
      </c>
      <c r="L182" s="5">
        <v>95.19</v>
      </c>
      <c r="M182" s="11">
        <f t="shared" si="4"/>
        <v>-10</v>
      </c>
      <c r="N182" s="12">
        <f t="shared" si="2"/>
        <v>-951.9</v>
      </c>
    </row>
    <row r="183" spans="1:14" s="4" customFormat="1" ht="12.75">
      <c r="A183" s="9" t="s">
        <v>231</v>
      </c>
      <c r="B183" s="5">
        <v>740</v>
      </c>
      <c r="C183" s="10">
        <v>42875</v>
      </c>
      <c r="D183" s="5" t="s">
        <v>143</v>
      </c>
      <c r="E183" s="10">
        <v>42857</v>
      </c>
      <c r="F183" s="5">
        <v>0</v>
      </c>
      <c r="G183" s="10">
        <v>42878</v>
      </c>
      <c r="H183" s="10">
        <v>42888</v>
      </c>
      <c r="I183" s="5" t="s">
        <v>228</v>
      </c>
      <c r="J183" s="5">
        <v>833.66</v>
      </c>
      <c r="K183" s="5">
        <v>150.33</v>
      </c>
      <c r="L183" s="5">
        <v>683.33</v>
      </c>
      <c r="M183" s="11">
        <f t="shared" si="4"/>
        <v>-10</v>
      </c>
      <c r="N183" s="12">
        <f t="shared" si="2"/>
        <v>-6833.3</v>
      </c>
    </row>
    <row r="184" spans="1:14" s="4" customFormat="1" ht="12.75">
      <c r="A184" s="9" t="s">
        <v>231</v>
      </c>
      <c r="B184" s="5">
        <v>742</v>
      </c>
      <c r="C184" s="10">
        <v>42875</v>
      </c>
      <c r="D184" s="5" t="s">
        <v>144</v>
      </c>
      <c r="E184" s="10">
        <v>42857</v>
      </c>
      <c r="F184" s="5">
        <v>0</v>
      </c>
      <c r="G184" s="10">
        <v>42878</v>
      </c>
      <c r="H184" s="10">
        <v>42888</v>
      </c>
      <c r="I184" s="5" t="s">
        <v>228</v>
      </c>
      <c r="J184" s="5">
        <v>583.38</v>
      </c>
      <c r="K184" s="5">
        <v>105.2</v>
      </c>
      <c r="L184" s="5">
        <v>478.18</v>
      </c>
      <c r="M184" s="11">
        <f t="shared" si="4"/>
        <v>-10</v>
      </c>
      <c r="N184" s="12">
        <f t="shared" si="2"/>
        <v>-4781.8</v>
      </c>
    </row>
    <row r="185" spans="1:14" s="4" customFormat="1" ht="12.75">
      <c r="A185" s="9" t="s">
        <v>231</v>
      </c>
      <c r="B185" s="5">
        <v>745</v>
      </c>
      <c r="C185" s="10">
        <v>42875</v>
      </c>
      <c r="D185" s="5" t="s">
        <v>145</v>
      </c>
      <c r="E185" s="10">
        <v>42857</v>
      </c>
      <c r="F185" s="5">
        <v>0</v>
      </c>
      <c r="G185" s="10">
        <v>42878</v>
      </c>
      <c r="H185" s="10">
        <v>42888</v>
      </c>
      <c r="I185" s="5" t="s">
        <v>228</v>
      </c>
      <c r="J185" s="5">
        <v>101.46</v>
      </c>
      <c r="K185" s="5">
        <v>18.3</v>
      </c>
      <c r="L185" s="5">
        <v>83.16</v>
      </c>
      <c r="M185" s="11">
        <f t="shared" si="4"/>
        <v>-10</v>
      </c>
      <c r="N185" s="12">
        <f t="shared" si="2"/>
        <v>-831.5999999999999</v>
      </c>
    </row>
    <row r="186" spans="1:14" s="4" customFormat="1" ht="12.75">
      <c r="A186" s="9" t="s">
        <v>231</v>
      </c>
      <c r="B186" s="5">
        <v>747</v>
      </c>
      <c r="C186" s="10">
        <v>42875</v>
      </c>
      <c r="D186" s="5" t="s">
        <v>146</v>
      </c>
      <c r="E186" s="10">
        <v>42857</v>
      </c>
      <c r="F186" s="5">
        <v>0</v>
      </c>
      <c r="G186" s="10">
        <v>42878</v>
      </c>
      <c r="H186" s="10">
        <v>42888</v>
      </c>
      <c r="I186" s="5" t="s">
        <v>228</v>
      </c>
      <c r="J186" s="5">
        <v>367.79</v>
      </c>
      <c r="K186" s="5">
        <v>66.32</v>
      </c>
      <c r="L186" s="5">
        <v>301.47</v>
      </c>
      <c r="M186" s="11">
        <f t="shared" si="4"/>
        <v>-10</v>
      </c>
      <c r="N186" s="12">
        <f t="shared" si="2"/>
        <v>-3014.7000000000003</v>
      </c>
    </row>
    <row r="187" spans="1:14" s="4" customFormat="1" ht="12.75">
      <c r="A187" s="9" t="s">
        <v>231</v>
      </c>
      <c r="B187" s="5">
        <v>746</v>
      </c>
      <c r="C187" s="10">
        <v>42875</v>
      </c>
      <c r="D187" s="5" t="s">
        <v>147</v>
      </c>
      <c r="E187" s="10">
        <v>42857</v>
      </c>
      <c r="F187" s="5">
        <v>0</v>
      </c>
      <c r="G187" s="10">
        <v>42878</v>
      </c>
      <c r="H187" s="10">
        <v>42888</v>
      </c>
      <c r="I187" s="5" t="s">
        <v>228</v>
      </c>
      <c r="J187" s="5">
        <v>372.14</v>
      </c>
      <c r="K187" s="5">
        <v>67.11</v>
      </c>
      <c r="L187" s="5">
        <v>305.03</v>
      </c>
      <c r="M187" s="11">
        <f t="shared" si="4"/>
        <v>-10</v>
      </c>
      <c r="N187" s="12">
        <f t="shared" si="2"/>
        <v>-3050.2999999999997</v>
      </c>
    </row>
    <row r="188" spans="1:14" s="4" customFormat="1" ht="12.75">
      <c r="A188" s="9" t="s">
        <v>231</v>
      </c>
      <c r="B188" s="5">
        <v>743</v>
      </c>
      <c r="C188" s="10">
        <v>42875</v>
      </c>
      <c r="D188" s="5" t="s">
        <v>148</v>
      </c>
      <c r="E188" s="10">
        <v>42857</v>
      </c>
      <c r="F188" s="5">
        <v>0</v>
      </c>
      <c r="G188" s="10">
        <v>42878</v>
      </c>
      <c r="H188" s="10">
        <v>42888</v>
      </c>
      <c r="I188" s="5" t="s">
        <v>228</v>
      </c>
      <c r="J188" s="13">
        <v>1348.53</v>
      </c>
      <c r="K188" s="5">
        <v>243.18</v>
      </c>
      <c r="L188" s="13">
        <v>1105.35</v>
      </c>
      <c r="M188" s="11">
        <f t="shared" si="4"/>
        <v>-10</v>
      </c>
      <c r="N188" s="12">
        <f t="shared" si="2"/>
        <v>-11053.5</v>
      </c>
    </row>
    <row r="189" spans="1:14" s="4" customFormat="1" ht="12.75">
      <c r="A189" s="9" t="s">
        <v>231</v>
      </c>
      <c r="B189" s="5">
        <v>748</v>
      </c>
      <c r="C189" s="10">
        <v>42875</v>
      </c>
      <c r="D189" s="5" t="s">
        <v>149</v>
      </c>
      <c r="E189" s="10">
        <v>42857</v>
      </c>
      <c r="F189" s="5">
        <v>0</v>
      </c>
      <c r="G189" s="10">
        <v>42878</v>
      </c>
      <c r="H189" s="10">
        <v>42888</v>
      </c>
      <c r="I189" s="5" t="s">
        <v>228</v>
      </c>
      <c r="J189" s="13">
        <v>2044.18</v>
      </c>
      <c r="K189" s="5">
        <v>358.14</v>
      </c>
      <c r="L189" s="13">
        <v>1686.04</v>
      </c>
      <c r="M189" s="11">
        <f t="shared" si="4"/>
        <v>-10</v>
      </c>
      <c r="N189" s="12">
        <f t="shared" si="2"/>
        <v>-16860.4</v>
      </c>
    </row>
    <row r="190" spans="1:14" s="4" customFormat="1" ht="25.5">
      <c r="A190" s="9" t="s">
        <v>192</v>
      </c>
      <c r="B190" s="5">
        <v>365</v>
      </c>
      <c r="C190" s="10">
        <v>42826</v>
      </c>
      <c r="D190" s="5" t="s">
        <v>15</v>
      </c>
      <c r="E190" s="10">
        <v>42781</v>
      </c>
      <c r="F190" s="5">
        <v>0</v>
      </c>
      <c r="G190" s="10">
        <v>42830</v>
      </c>
      <c r="H190" s="10">
        <v>42840</v>
      </c>
      <c r="I190" s="5" t="s">
        <v>228</v>
      </c>
      <c r="J190" s="5">
        <v>524.6</v>
      </c>
      <c r="K190" s="5">
        <v>94.6</v>
      </c>
      <c r="L190" s="5">
        <v>430</v>
      </c>
      <c r="M190" s="11">
        <f t="shared" si="4"/>
        <v>-10</v>
      </c>
      <c r="N190" s="12">
        <f t="shared" si="2"/>
        <v>-4300</v>
      </c>
    </row>
    <row r="191" spans="1:14" s="4" customFormat="1" ht="25.5">
      <c r="A191" s="9" t="s">
        <v>192</v>
      </c>
      <c r="B191" s="5">
        <v>378</v>
      </c>
      <c r="C191" s="10">
        <v>42828</v>
      </c>
      <c r="D191" s="5" t="s">
        <v>193</v>
      </c>
      <c r="E191" s="10">
        <v>42781</v>
      </c>
      <c r="F191" s="5">
        <v>0</v>
      </c>
      <c r="G191" s="10">
        <v>42830</v>
      </c>
      <c r="H191" s="10">
        <v>42840</v>
      </c>
      <c r="I191" s="5" t="s">
        <v>228</v>
      </c>
      <c r="J191" s="13">
        <v>1342</v>
      </c>
      <c r="K191" s="5">
        <v>242</v>
      </c>
      <c r="L191" s="13">
        <v>1100</v>
      </c>
      <c r="M191" s="11">
        <f t="shared" si="4"/>
        <v>-10</v>
      </c>
      <c r="N191" s="12">
        <f t="shared" si="2"/>
        <v>-11000</v>
      </c>
    </row>
    <row r="192" spans="1:14" s="4" customFormat="1" ht="38.25">
      <c r="A192" s="9" t="s">
        <v>25</v>
      </c>
      <c r="B192" s="5">
        <v>407</v>
      </c>
      <c r="C192" s="10">
        <v>42830</v>
      </c>
      <c r="D192" s="5" t="str">
        <f>"8017056828"</f>
        <v>8017056828</v>
      </c>
      <c r="E192" s="10">
        <v>42810</v>
      </c>
      <c r="F192" s="5">
        <v>0</v>
      </c>
      <c r="G192" s="10">
        <v>42830</v>
      </c>
      <c r="H192" s="10">
        <v>42840</v>
      </c>
      <c r="I192" s="5" t="s">
        <v>26</v>
      </c>
      <c r="J192" s="5">
        <v>59.94</v>
      </c>
      <c r="K192" s="5">
        <v>59.94</v>
      </c>
      <c r="L192" s="5">
        <v>0</v>
      </c>
      <c r="M192" s="11">
        <f t="shared" si="4"/>
        <v>-10</v>
      </c>
      <c r="N192" s="12">
        <f t="shared" si="2"/>
        <v>0</v>
      </c>
    </row>
    <row r="193" spans="1:14" s="4" customFormat="1" ht="38.25">
      <c r="A193" s="9" t="s">
        <v>25</v>
      </c>
      <c r="B193" s="5">
        <v>407</v>
      </c>
      <c r="C193" s="10">
        <v>42830</v>
      </c>
      <c r="D193" s="5" t="str">
        <f>"8017055593"</f>
        <v>8017055593</v>
      </c>
      <c r="E193" s="10">
        <v>42810</v>
      </c>
      <c r="F193" s="5">
        <v>0</v>
      </c>
      <c r="G193" s="10">
        <v>42830</v>
      </c>
      <c r="H193" s="10">
        <v>42840</v>
      </c>
      <c r="I193" s="5" t="s">
        <v>26</v>
      </c>
      <c r="J193" s="5">
        <v>7.93</v>
      </c>
      <c r="K193" s="5">
        <v>7.93</v>
      </c>
      <c r="L193" s="5">
        <v>0</v>
      </c>
      <c r="M193" s="11">
        <f>+G193-H193</f>
        <v>-10</v>
      </c>
      <c r="N193" s="12">
        <f t="shared" si="2"/>
        <v>0</v>
      </c>
    </row>
    <row r="194" spans="1:14" s="4" customFormat="1" ht="38.25">
      <c r="A194" s="9" t="s">
        <v>25</v>
      </c>
      <c r="B194" s="5">
        <v>407</v>
      </c>
      <c r="C194" s="10">
        <v>42830</v>
      </c>
      <c r="D194" s="5" t="str">
        <f>"8017056032"</f>
        <v>8017056032</v>
      </c>
      <c r="E194" s="10">
        <v>42810</v>
      </c>
      <c r="F194" s="5">
        <v>0</v>
      </c>
      <c r="G194" s="10">
        <v>42830</v>
      </c>
      <c r="H194" s="10">
        <v>42840</v>
      </c>
      <c r="I194" s="5" t="s">
        <v>26</v>
      </c>
      <c r="J194" s="5">
        <v>16.38</v>
      </c>
      <c r="K194" s="5">
        <v>16.38</v>
      </c>
      <c r="L194" s="5">
        <v>0</v>
      </c>
      <c r="M194" s="11">
        <f>+G194-H194</f>
        <v>-10</v>
      </c>
      <c r="N194" s="12">
        <f t="shared" si="2"/>
        <v>0</v>
      </c>
    </row>
    <row r="195" spans="1:14" s="4" customFormat="1" ht="25.5">
      <c r="A195" s="9" t="s">
        <v>192</v>
      </c>
      <c r="B195" s="5">
        <v>362</v>
      </c>
      <c r="C195" s="10">
        <v>42826</v>
      </c>
      <c r="D195" s="5" t="s">
        <v>194</v>
      </c>
      <c r="E195" s="10">
        <v>42782</v>
      </c>
      <c r="F195" s="5">
        <v>0</v>
      </c>
      <c r="G195" s="10">
        <v>42830</v>
      </c>
      <c r="H195" s="10">
        <v>42841</v>
      </c>
      <c r="I195" s="5" t="s">
        <v>228</v>
      </c>
      <c r="J195" s="13">
        <v>12810</v>
      </c>
      <c r="K195" s="13">
        <v>2310</v>
      </c>
      <c r="L195" s="13">
        <v>10500</v>
      </c>
      <c r="M195" s="11">
        <f>+G195-H195</f>
        <v>-11</v>
      </c>
      <c r="N195" s="12">
        <f aca="true" t="shared" si="5" ref="N195:N258">+L195*M195</f>
        <v>-115500</v>
      </c>
    </row>
    <row r="196" spans="1:14" s="4" customFormat="1" ht="38.25">
      <c r="A196" s="9" t="s">
        <v>25</v>
      </c>
      <c r="B196" s="5">
        <v>925</v>
      </c>
      <c r="C196" s="10">
        <v>42900</v>
      </c>
      <c r="D196" s="5" t="str">
        <f>"8017098728"</f>
        <v>8017098728</v>
      </c>
      <c r="E196" s="10">
        <v>42873</v>
      </c>
      <c r="F196" s="5">
        <v>0</v>
      </c>
      <c r="G196" s="10">
        <v>42900</v>
      </c>
      <c r="H196" s="10">
        <v>42911</v>
      </c>
      <c r="I196" s="5" t="s">
        <v>26</v>
      </c>
      <c r="J196" s="5">
        <v>4.49</v>
      </c>
      <c r="K196" s="5">
        <v>4.49</v>
      </c>
      <c r="L196" s="5">
        <v>0</v>
      </c>
      <c r="M196" s="11">
        <f>+G196-H196</f>
        <v>-11</v>
      </c>
      <c r="N196" s="12">
        <f t="shared" si="5"/>
        <v>0</v>
      </c>
    </row>
    <row r="197" spans="1:14" s="4" customFormat="1" ht="12.75">
      <c r="A197" s="9" t="s">
        <v>195</v>
      </c>
      <c r="B197" s="5">
        <v>915</v>
      </c>
      <c r="C197" s="10">
        <v>42896</v>
      </c>
      <c r="D197" s="5" t="s">
        <v>196</v>
      </c>
      <c r="E197" s="10">
        <v>42877</v>
      </c>
      <c r="F197" s="5">
        <v>0</v>
      </c>
      <c r="G197" s="10">
        <v>42896</v>
      </c>
      <c r="H197" s="10">
        <v>42908</v>
      </c>
      <c r="I197" s="5" t="s">
        <v>228</v>
      </c>
      <c r="J197" s="13">
        <v>6439.68</v>
      </c>
      <c r="K197" s="13">
        <v>1161.25</v>
      </c>
      <c r="L197" s="13">
        <v>5278.43</v>
      </c>
      <c r="M197" s="11">
        <f>+G197-H197</f>
        <v>-12</v>
      </c>
      <c r="N197" s="12">
        <f t="shared" si="5"/>
        <v>-63341.16</v>
      </c>
    </row>
    <row r="198" spans="1:14" s="4" customFormat="1" ht="25.5">
      <c r="A198" s="9" t="s">
        <v>107</v>
      </c>
      <c r="B198" s="5">
        <v>432</v>
      </c>
      <c r="C198" s="10">
        <v>42843</v>
      </c>
      <c r="D198" s="5" t="s">
        <v>197</v>
      </c>
      <c r="E198" s="10">
        <v>42826</v>
      </c>
      <c r="F198" s="5">
        <v>0</v>
      </c>
      <c r="G198" s="10">
        <v>42843</v>
      </c>
      <c r="H198" s="10">
        <v>42856</v>
      </c>
      <c r="I198" s="5" t="s">
        <v>228</v>
      </c>
      <c r="J198" s="13">
        <v>2926.38</v>
      </c>
      <c r="K198" s="5">
        <v>527.71</v>
      </c>
      <c r="L198" s="13">
        <v>2398.67</v>
      </c>
      <c r="M198" s="11">
        <f>+G198-H198</f>
        <v>-13</v>
      </c>
      <c r="N198" s="12">
        <f t="shared" si="5"/>
        <v>-31182.71</v>
      </c>
    </row>
    <row r="199" spans="1:14" s="4" customFormat="1" ht="25.5">
      <c r="A199" s="9" t="s">
        <v>133</v>
      </c>
      <c r="B199" s="5">
        <v>382</v>
      </c>
      <c r="C199" s="10">
        <v>42829</v>
      </c>
      <c r="D199" s="5" t="s">
        <v>134</v>
      </c>
      <c r="E199" s="10">
        <v>42766</v>
      </c>
      <c r="F199" s="5">
        <v>0</v>
      </c>
      <c r="G199" s="10">
        <v>42830</v>
      </c>
      <c r="H199" s="10">
        <v>42845</v>
      </c>
      <c r="I199" s="5" t="s">
        <v>228</v>
      </c>
      <c r="J199" s="5">
        <v>647.96</v>
      </c>
      <c r="K199" s="5">
        <v>24.92</v>
      </c>
      <c r="L199" s="5">
        <v>623.04</v>
      </c>
      <c r="M199" s="11">
        <f>+G199-H199</f>
        <v>-15</v>
      </c>
      <c r="N199" s="12">
        <f t="shared" si="5"/>
        <v>-9345.599999999999</v>
      </c>
    </row>
    <row r="200" spans="1:14" s="4" customFormat="1" ht="25.5">
      <c r="A200" s="9" t="s">
        <v>133</v>
      </c>
      <c r="B200" s="5">
        <v>367</v>
      </c>
      <c r="C200" s="10">
        <v>42828</v>
      </c>
      <c r="D200" s="5" t="s">
        <v>135</v>
      </c>
      <c r="E200" s="10">
        <v>42766</v>
      </c>
      <c r="F200" s="5">
        <v>0</v>
      </c>
      <c r="G200" s="10">
        <v>42830</v>
      </c>
      <c r="H200" s="10">
        <v>42845</v>
      </c>
      <c r="I200" s="5" t="s">
        <v>228</v>
      </c>
      <c r="J200" s="13">
        <v>11876.84</v>
      </c>
      <c r="K200" s="5">
        <v>456.8</v>
      </c>
      <c r="L200" s="13">
        <v>11420.04</v>
      </c>
      <c r="M200" s="11">
        <f>+G200-H200</f>
        <v>-15</v>
      </c>
      <c r="N200" s="12">
        <f t="shared" si="5"/>
        <v>-171300.6</v>
      </c>
    </row>
    <row r="201" spans="1:14" s="4" customFormat="1" ht="12.75">
      <c r="A201" s="9" t="s">
        <v>39</v>
      </c>
      <c r="B201" s="5">
        <v>932</v>
      </c>
      <c r="C201" s="10">
        <v>42900</v>
      </c>
      <c r="D201" s="5" t="str">
        <f>"17046"</f>
        <v>17046</v>
      </c>
      <c r="E201" s="10">
        <v>42856</v>
      </c>
      <c r="F201" s="5">
        <v>0</v>
      </c>
      <c r="G201" s="10">
        <v>42900</v>
      </c>
      <c r="H201" s="10">
        <v>42916</v>
      </c>
      <c r="I201" s="5" t="s">
        <v>228</v>
      </c>
      <c r="J201" s="13">
        <v>2021.39</v>
      </c>
      <c r="K201" s="5">
        <v>364.51</v>
      </c>
      <c r="L201" s="13">
        <v>1656.88</v>
      </c>
      <c r="M201" s="11">
        <f>+G201-H201</f>
        <v>-16</v>
      </c>
      <c r="N201" s="12">
        <f t="shared" si="5"/>
        <v>-26510.08</v>
      </c>
    </row>
    <row r="202" spans="1:14" s="4" customFormat="1" ht="12.75">
      <c r="A202" s="9" t="s">
        <v>198</v>
      </c>
      <c r="B202" s="5">
        <v>929</v>
      </c>
      <c r="C202" s="10">
        <v>42900</v>
      </c>
      <c r="D202" s="5" t="s">
        <v>199</v>
      </c>
      <c r="E202" s="10">
        <v>42853</v>
      </c>
      <c r="F202" s="5">
        <v>0</v>
      </c>
      <c r="G202" s="10">
        <v>42900</v>
      </c>
      <c r="H202" s="10">
        <v>42916</v>
      </c>
      <c r="I202" s="5" t="s">
        <v>228</v>
      </c>
      <c r="J202" s="5">
        <v>42</v>
      </c>
      <c r="K202" s="5">
        <v>7.57</v>
      </c>
      <c r="L202" s="5">
        <v>34.43</v>
      </c>
      <c r="M202" s="11">
        <f>+G202-H202</f>
        <v>-16</v>
      </c>
      <c r="N202" s="12">
        <f t="shared" si="5"/>
        <v>-550.88</v>
      </c>
    </row>
    <row r="203" spans="1:14" s="4" customFormat="1" ht="25.5">
      <c r="A203" s="9" t="s">
        <v>200</v>
      </c>
      <c r="B203" s="5">
        <v>933</v>
      </c>
      <c r="C203" s="10">
        <v>42900</v>
      </c>
      <c r="D203" s="5" t="s">
        <v>201</v>
      </c>
      <c r="E203" s="10">
        <v>42873</v>
      </c>
      <c r="F203" s="5">
        <v>0</v>
      </c>
      <c r="G203" s="10">
        <v>42900</v>
      </c>
      <c r="H203" s="10">
        <v>42916</v>
      </c>
      <c r="I203" s="5" t="s">
        <v>228</v>
      </c>
      <c r="J203" s="5">
        <v>400.77</v>
      </c>
      <c r="K203" s="5">
        <v>72.27</v>
      </c>
      <c r="L203" s="5">
        <v>328.5</v>
      </c>
      <c r="M203" s="11">
        <f>+G203-H203</f>
        <v>-16</v>
      </c>
      <c r="N203" s="12">
        <f t="shared" si="5"/>
        <v>-5256</v>
      </c>
    </row>
    <row r="204" spans="1:14" s="4" customFormat="1" ht="12.75">
      <c r="A204" s="9" t="s">
        <v>94</v>
      </c>
      <c r="B204" s="5">
        <v>776</v>
      </c>
      <c r="C204" s="10">
        <v>42877</v>
      </c>
      <c r="D204" s="5" t="str">
        <f>"0001112989"</f>
        <v>0001112989</v>
      </c>
      <c r="E204" s="10">
        <v>42855</v>
      </c>
      <c r="F204" s="5">
        <v>0</v>
      </c>
      <c r="G204" s="10">
        <v>42878</v>
      </c>
      <c r="H204" s="10">
        <v>42895</v>
      </c>
      <c r="I204" s="5" t="s">
        <v>228</v>
      </c>
      <c r="J204" s="5">
        <v>294.2</v>
      </c>
      <c r="K204" s="5">
        <v>0</v>
      </c>
      <c r="L204" s="5">
        <v>294.2</v>
      </c>
      <c r="M204" s="11">
        <f>+G204-H204</f>
        <v>-17</v>
      </c>
      <c r="N204" s="12">
        <f t="shared" si="5"/>
        <v>-5001.4</v>
      </c>
    </row>
    <row r="205" spans="1:14" s="4" customFormat="1" ht="12.75">
      <c r="A205" s="9" t="s">
        <v>94</v>
      </c>
      <c r="B205" s="5">
        <v>776</v>
      </c>
      <c r="C205" s="10">
        <v>42877</v>
      </c>
      <c r="D205" s="5" t="str">
        <f>"0001113318"</f>
        <v>0001113318</v>
      </c>
      <c r="E205" s="10">
        <v>42855</v>
      </c>
      <c r="F205" s="5">
        <v>0</v>
      </c>
      <c r="G205" s="10">
        <v>42878</v>
      </c>
      <c r="H205" s="10">
        <v>42895</v>
      </c>
      <c r="I205" s="5" t="s">
        <v>228</v>
      </c>
      <c r="J205" s="5">
        <v>258.4</v>
      </c>
      <c r="K205" s="5">
        <v>0</v>
      </c>
      <c r="L205" s="5">
        <v>258.4</v>
      </c>
      <c r="M205" s="11">
        <f>+G205-H205</f>
        <v>-17</v>
      </c>
      <c r="N205" s="12">
        <f t="shared" si="5"/>
        <v>-4392.799999999999</v>
      </c>
    </row>
    <row r="206" spans="1:14" s="4" customFormat="1" ht="12.75">
      <c r="A206" s="9" t="s">
        <v>39</v>
      </c>
      <c r="B206" s="5">
        <v>788</v>
      </c>
      <c r="C206" s="10">
        <v>42877</v>
      </c>
      <c r="D206" s="5" t="str">
        <f>"17044"</f>
        <v>17044</v>
      </c>
      <c r="E206" s="10">
        <v>42855</v>
      </c>
      <c r="F206" s="5">
        <v>0</v>
      </c>
      <c r="G206" s="10">
        <v>42878</v>
      </c>
      <c r="H206" s="10">
        <v>42896</v>
      </c>
      <c r="I206" s="5" t="s">
        <v>228</v>
      </c>
      <c r="J206" s="13">
        <v>1282.07</v>
      </c>
      <c r="K206" s="5">
        <v>231.19</v>
      </c>
      <c r="L206" s="13">
        <v>1050.88</v>
      </c>
      <c r="M206" s="11">
        <f>+G206-H206</f>
        <v>-18</v>
      </c>
      <c r="N206" s="12">
        <f t="shared" si="5"/>
        <v>-18915.840000000004</v>
      </c>
    </row>
    <row r="207" spans="1:14" s="4" customFormat="1" ht="12.75">
      <c r="A207" s="9" t="s">
        <v>114</v>
      </c>
      <c r="B207" s="5">
        <v>542</v>
      </c>
      <c r="C207" s="10">
        <v>42851</v>
      </c>
      <c r="D207" s="16" t="s">
        <v>202</v>
      </c>
      <c r="E207" s="10">
        <v>42772</v>
      </c>
      <c r="F207" s="5">
        <v>0</v>
      </c>
      <c r="G207" s="10">
        <v>42852</v>
      </c>
      <c r="H207" s="10">
        <v>42870</v>
      </c>
      <c r="I207" s="5" t="s">
        <v>228</v>
      </c>
      <c r="J207" s="5">
        <v>300.82</v>
      </c>
      <c r="K207" s="5">
        <v>54.25</v>
      </c>
      <c r="L207" s="5">
        <v>246.57</v>
      </c>
      <c r="M207" s="11">
        <f>+G207-H207</f>
        <v>-18</v>
      </c>
      <c r="N207" s="12">
        <f t="shared" si="5"/>
        <v>-4438.26</v>
      </c>
    </row>
    <row r="208" spans="1:14" s="4" customFormat="1" ht="12.75">
      <c r="A208" s="9" t="s">
        <v>94</v>
      </c>
      <c r="B208" s="5">
        <v>592</v>
      </c>
      <c r="C208" s="10">
        <v>42867</v>
      </c>
      <c r="D208" s="5" t="str">
        <f>"0002113362"</f>
        <v>0002113362</v>
      </c>
      <c r="E208" s="10">
        <v>42825</v>
      </c>
      <c r="F208" s="5">
        <v>0</v>
      </c>
      <c r="G208" s="10">
        <v>42868</v>
      </c>
      <c r="H208" s="10">
        <v>42886</v>
      </c>
      <c r="I208" s="5" t="s">
        <v>228</v>
      </c>
      <c r="J208" s="5">
        <v>695.4</v>
      </c>
      <c r="K208" s="5">
        <v>125.4</v>
      </c>
      <c r="L208" s="5">
        <v>570</v>
      </c>
      <c r="M208" s="11">
        <f>+G208-H208</f>
        <v>-18</v>
      </c>
      <c r="N208" s="12">
        <f t="shared" si="5"/>
        <v>-10260</v>
      </c>
    </row>
    <row r="209" spans="1:14" s="4" customFormat="1" ht="12.75">
      <c r="A209" s="9" t="s">
        <v>203</v>
      </c>
      <c r="B209" s="5">
        <v>685</v>
      </c>
      <c r="C209" s="10">
        <v>42867</v>
      </c>
      <c r="D209" s="5" t="str">
        <f>"20170006"</f>
        <v>20170006</v>
      </c>
      <c r="E209" s="10">
        <v>42825</v>
      </c>
      <c r="F209" s="5">
        <v>0</v>
      </c>
      <c r="G209" s="10">
        <v>42868</v>
      </c>
      <c r="H209" s="10">
        <v>42886</v>
      </c>
      <c r="I209" s="5" t="s">
        <v>228</v>
      </c>
      <c r="J209" s="13">
        <v>94187.5</v>
      </c>
      <c r="K209" s="13">
        <v>8562.5</v>
      </c>
      <c r="L209" s="13">
        <v>85625</v>
      </c>
      <c r="M209" s="11">
        <f>+G209-H209</f>
        <v>-18</v>
      </c>
      <c r="N209" s="12">
        <f t="shared" si="5"/>
        <v>-1541250</v>
      </c>
    </row>
    <row r="210" spans="1:14" s="4" customFormat="1" ht="12.75">
      <c r="A210" s="9" t="s">
        <v>173</v>
      </c>
      <c r="B210" s="5">
        <v>541</v>
      </c>
      <c r="C210" s="10">
        <v>42851</v>
      </c>
      <c r="D210" s="5" t="str">
        <f>"0000005102"</f>
        <v>0000005102</v>
      </c>
      <c r="E210" s="10">
        <v>42810</v>
      </c>
      <c r="F210" s="5">
        <v>0</v>
      </c>
      <c r="G210" s="10">
        <v>42852</v>
      </c>
      <c r="H210" s="10">
        <v>42870</v>
      </c>
      <c r="I210" s="5" t="s">
        <v>228</v>
      </c>
      <c r="J210" s="5">
        <v>60.87</v>
      </c>
      <c r="K210" s="5">
        <v>10.98</v>
      </c>
      <c r="L210" s="5">
        <v>49.89</v>
      </c>
      <c r="M210" s="11">
        <f>+G210-H210</f>
        <v>-18</v>
      </c>
      <c r="N210" s="12">
        <f t="shared" si="5"/>
        <v>-898.02</v>
      </c>
    </row>
    <row r="211" spans="1:14" s="4" customFormat="1" ht="12.75">
      <c r="A211" s="9" t="s">
        <v>173</v>
      </c>
      <c r="B211" s="5">
        <v>543</v>
      </c>
      <c r="C211" s="10">
        <v>42851</v>
      </c>
      <c r="D211" s="5" t="str">
        <f>"0000005103"</f>
        <v>0000005103</v>
      </c>
      <c r="E211" s="10">
        <v>42810</v>
      </c>
      <c r="F211" s="5">
        <v>0</v>
      </c>
      <c r="G211" s="10">
        <v>42852</v>
      </c>
      <c r="H211" s="10">
        <v>42870</v>
      </c>
      <c r="I211" s="5" t="s">
        <v>228</v>
      </c>
      <c r="J211" s="5">
        <v>66.44</v>
      </c>
      <c r="K211" s="5">
        <v>11.98</v>
      </c>
      <c r="L211" s="5">
        <v>54.46</v>
      </c>
      <c r="M211" s="11">
        <f>+G211-H211</f>
        <v>-18</v>
      </c>
      <c r="N211" s="12">
        <f t="shared" si="5"/>
        <v>-980.28</v>
      </c>
    </row>
    <row r="212" spans="1:14" s="4" customFormat="1" ht="25.5">
      <c r="A212" s="9" t="s">
        <v>205</v>
      </c>
      <c r="B212" s="5">
        <v>914</v>
      </c>
      <c r="C212" s="10">
        <v>42896</v>
      </c>
      <c r="D212" s="5" t="s">
        <v>206</v>
      </c>
      <c r="E212" s="10">
        <v>42866</v>
      </c>
      <c r="F212" s="5">
        <v>0</v>
      </c>
      <c r="G212" s="10">
        <v>42896</v>
      </c>
      <c r="H212" s="10">
        <v>42916</v>
      </c>
      <c r="I212" s="5" t="s">
        <v>228</v>
      </c>
      <c r="J212" s="5">
        <v>40</v>
      </c>
      <c r="K212" s="5">
        <v>0</v>
      </c>
      <c r="L212" s="5">
        <v>40</v>
      </c>
      <c r="M212" s="11">
        <f>+G212-H212</f>
        <v>-20</v>
      </c>
      <c r="N212" s="12">
        <f t="shared" si="5"/>
        <v>-800</v>
      </c>
    </row>
    <row r="213" spans="1:14" s="4" customFormat="1" ht="12.75">
      <c r="A213" s="9" t="s">
        <v>195</v>
      </c>
      <c r="B213" s="5">
        <v>916</v>
      </c>
      <c r="C213" s="10">
        <v>42896</v>
      </c>
      <c r="D213" s="5" t="s">
        <v>207</v>
      </c>
      <c r="E213" s="10">
        <v>42885</v>
      </c>
      <c r="F213" s="5">
        <v>0</v>
      </c>
      <c r="G213" s="10">
        <v>42896</v>
      </c>
      <c r="H213" s="10">
        <v>42916</v>
      </c>
      <c r="I213" s="5" t="s">
        <v>228</v>
      </c>
      <c r="J213" s="13">
        <v>2440</v>
      </c>
      <c r="K213" s="5">
        <v>440</v>
      </c>
      <c r="L213" s="13">
        <v>2000</v>
      </c>
      <c r="M213" s="11">
        <f>+G213-H213</f>
        <v>-20</v>
      </c>
      <c r="N213" s="12">
        <f t="shared" si="5"/>
        <v>-40000</v>
      </c>
    </row>
    <row r="214" spans="1:14" s="4" customFormat="1" ht="25.5">
      <c r="A214" s="9" t="s">
        <v>107</v>
      </c>
      <c r="B214" s="5">
        <v>709</v>
      </c>
      <c r="C214" s="10">
        <v>42868</v>
      </c>
      <c r="D214" s="5" t="s">
        <v>208</v>
      </c>
      <c r="E214" s="10">
        <v>42857</v>
      </c>
      <c r="F214" s="5">
        <v>0</v>
      </c>
      <c r="G214" s="10">
        <v>42868</v>
      </c>
      <c r="H214" s="10">
        <v>42888</v>
      </c>
      <c r="I214" s="5" t="s">
        <v>228</v>
      </c>
      <c r="J214" s="13">
        <v>2926.38</v>
      </c>
      <c r="K214" s="5">
        <v>527.71</v>
      </c>
      <c r="L214" s="13">
        <v>2398.67</v>
      </c>
      <c r="M214" s="11">
        <f>+G214-H214</f>
        <v>-20</v>
      </c>
      <c r="N214" s="12">
        <f t="shared" si="5"/>
        <v>-47973.4</v>
      </c>
    </row>
    <row r="215" spans="1:14" s="4" customFormat="1" ht="12.75">
      <c r="A215" s="9" t="s">
        <v>4</v>
      </c>
      <c r="B215" s="5">
        <v>917</v>
      </c>
      <c r="C215" s="10">
        <v>42896</v>
      </c>
      <c r="D215" s="5" t="str">
        <f>"2017900754"</f>
        <v>2017900754</v>
      </c>
      <c r="E215" s="10">
        <v>42885</v>
      </c>
      <c r="F215" s="5">
        <v>0</v>
      </c>
      <c r="G215" s="10">
        <v>42896</v>
      </c>
      <c r="H215" s="10">
        <v>42916</v>
      </c>
      <c r="I215" s="5" t="s">
        <v>26</v>
      </c>
      <c r="J215" s="13">
        <v>3977.2</v>
      </c>
      <c r="K215" s="5">
        <v>717.2</v>
      </c>
      <c r="L215" s="13">
        <v>3260</v>
      </c>
      <c r="M215" s="11">
        <f>+G215-H215</f>
        <v>-20</v>
      </c>
      <c r="N215" s="12">
        <f t="shared" si="5"/>
        <v>-65200</v>
      </c>
    </row>
    <row r="216" spans="1:14" s="4" customFormat="1" ht="12.75">
      <c r="A216" s="9" t="s">
        <v>231</v>
      </c>
      <c r="B216" s="5">
        <v>941</v>
      </c>
      <c r="C216" s="10">
        <v>42900</v>
      </c>
      <c r="D216" s="5" t="s">
        <v>177</v>
      </c>
      <c r="E216" s="10">
        <v>42887</v>
      </c>
      <c r="F216" s="5">
        <v>0</v>
      </c>
      <c r="G216" s="10">
        <v>42900</v>
      </c>
      <c r="H216" s="10">
        <v>42921</v>
      </c>
      <c r="I216" s="5" t="s">
        <v>228</v>
      </c>
      <c r="J216" s="5">
        <v>384.85</v>
      </c>
      <c r="K216" s="5">
        <v>69.4</v>
      </c>
      <c r="L216" s="5">
        <v>315.45</v>
      </c>
      <c r="M216" s="11">
        <f>+G216-H216</f>
        <v>-21</v>
      </c>
      <c r="N216" s="12">
        <f t="shared" si="5"/>
        <v>-6624.45</v>
      </c>
    </row>
    <row r="217" spans="1:14" s="4" customFormat="1" ht="12.75">
      <c r="A217" s="9" t="s">
        <v>231</v>
      </c>
      <c r="B217" s="5">
        <v>937</v>
      </c>
      <c r="C217" s="10">
        <v>42900</v>
      </c>
      <c r="D217" s="5" t="s">
        <v>178</v>
      </c>
      <c r="E217" s="10">
        <v>42887</v>
      </c>
      <c r="F217" s="5">
        <v>0</v>
      </c>
      <c r="G217" s="10">
        <v>42900</v>
      </c>
      <c r="H217" s="10">
        <v>42921</v>
      </c>
      <c r="I217" s="5" t="s">
        <v>228</v>
      </c>
      <c r="J217" s="5">
        <v>538.97</v>
      </c>
      <c r="K217" s="5">
        <v>97.19</v>
      </c>
      <c r="L217" s="5">
        <v>441.78</v>
      </c>
      <c r="M217" s="11">
        <f>+G217-H217</f>
        <v>-21</v>
      </c>
      <c r="N217" s="12">
        <f t="shared" si="5"/>
        <v>-9277.38</v>
      </c>
    </row>
    <row r="218" spans="1:14" s="4" customFormat="1" ht="12.75">
      <c r="A218" s="9" t="s">
        <v>231</v>
      </c>
      <c r="B218" s="5">
        <v>935</v>
      </c>
      <c r="C218" s="10">
        <v>42900</v>
      </c>
      <c r="D218" s="5" t="s">
        <v>179</v>
      </c>
      <c r="E218" s="10">
        <v>42887</v>
      </c>
      <c r="F218" s="5">
        <v>0</v>
      </c>
      <c r="G218" s="10">
        <v>42900</v>
      </c>
      <c r="H218" s="10">
        <v>42921</v>
      </c>
      <c r="I218" s="5" t="s">
        <v>228</v>
      </c>
      <c r="J218" s="5">
        <v>457.34</v>
      </c>
      <c r="K218" s="5">
        <v>82.47</v>
      </c>
      <c r="L218" s="5">
        <v>374.87</v>
      </c>
      <c r="M218" s="11">
        <f>+G218-H218</f>
        <v>-21</v>
      </c>
      <c r="N218" s="12">
        <f t="shared" si="5"/>
        <v>-7872.27</v>
      </c>
    </row>
    <row r="219" spans="1:14" s="4" customFormat="1" ht="12.75">
      <c r="A219" s="9" t="s">
        <v>231</v>
      </c>
      <c r="B219" s="5">
        <v>938</v>
      </c>
      <c r="C219" s="10">
        <v>42900</v>
      </c>
      <c r="D219" s="5" t="s">
        <v>180</v>
      </c>
      <c r="E219" s="10">
        <v>42887</v>
      </c>
      <c r="F219" s="5">
        <v>0</v>
      </c>
      <c r="G219" s="10">
        <v>42900</v>
      </c>
      <c r="H219" s="10">
        <v>42921</v>
      </c>
      <c r="I219" s="5" t="s">
        <v>228</v>
      </c>
      <c r="J219" s="5">
        <v>197.51</v>
      </c>
      <c r="K219" s="5">
        <v>35.62</v>
      </c>
      <c r="L219" s="5">
        <v>161.89</v>
      </c>
      <c r="M219" s="11">
        <f>+G219-H219</f>
        <v>-21</v>
      </c>
      <c r="N219" s="12">
        <f t="shared" si="5"/>
        <v>-3399.6899999999996</v>
      </c>
    </row>
    <row r="220" spans="1:14" s="4" customFormat="1" ht="12.75">
      <c r="A220" s="9" t="s">
        <v>231</v>
      </c>
      <c r="B220" s="5">
        <v>942</v>
      </c>
      <c r="C220" s="10">
        <v>42900</v>
      </c>
      <c r="D220" s="5" t="s">
        <v>181</v>
      </c>
      <c r="E220" s="10">
        <v>42887</v>
      </c>
      <c r="F220" s="5">
        <v>0</v>
      </c>
      <c r="G220" s="10">
        <v>42900</v>
      </c>
      <c r="H220" s="10">
        <v>42921</v>
      </c>
      <c r="I220" s="5" t="s">
        <v>228</v>
      </c>
      <c r="J220" s="5">
        <v>430.34</v>
      </c>
      <c r="K220" s="5">
        <v>77.6</v>
      </c>
      <c r="L220" s="5">
        <v>352.74</v>
      </c>
      <c r="M220" s="11">
        <f>+G220-H220</f>
        <v>-21</v>
      </c>
      <c r="N220" s="12">
        <f t="shared" si="5"/>
        <v>-7407.54</v>
      </c>
    </row>
    <row r="221" spans="1:14" s="4" customFormat="1" ht="12.75">
      <c r="A221" s="9" t="s">
        <v>231</v>
      </c>
      <c r="B221" s="5">
        <v>936</v>
      </c>
      <c r="C221" s="10">
        <v>42900</v>
      </c>
      <c r="D221" s="5" t="s">
        <v>182</v>
      </c>
      <c r="E221" s="10">
        <v>42887</v>
      </c>
      <c r="F221" s="5">
        <v>0</v>
      </c>
      <c r="G221" s="10">
        <v>42900</v>
      </c>
      <c r="H221" s="10">
        <v>42921</v>
      </c>
      <c r="I221" s="5" t="s">
        <v>228</v>
      </c>
      <c r="J221" s="5">
        <v>87.18</v>
      </c>
      <c r="K221" s="5">
        <v>15.72</v>
      </c>
      <c r="L221" s="5">
        <v>71.46</v>
      </c>
      <c r="M221" s="11">
        <f>+G221-H221</f>
        <v>-21</v>
      </c>
      <c r="N221" s="12">
        <f t="shared" si="5"/>
        <v>-1500.6599999999999</v>
      </c>
    </row>
    <row r="222" spans="1:14" s="4" customFormat="1" ht="12.75">
      <c r="A222" s="9" t="s">
        <v>231</v>
      </c>
      <c r="B222" s="5">
        <v>940</v>
      </c>
      <c r="C222" s="10">
        <v>42900</v>
      </c>
      <c r="D222" s="5" t="s">
        <v>183</v>
      </c>
      <c r="E222" s="10">
        <v>42887</v>
      </c>
      <c r="F222" s="5">
        <v>0</v>
      </c>
      <c r="G222" s="10">
        <v>42900</v>
      </c>
      <c r="H222" s="10">
        <v>42921</v>
      </c>
      <c r="I222" s="5" t="s">
        <v>228</v>
      </c>
      <c r="J222" s="5">
        <v>185.79</v>
      </c>
      <c r="K222" s="5">
        <v>33.5</v>
      </c>
      <c r="L222" s="5">
        <v>152.29</v>
      </c>
      <c r="M222" s="11">
        <f>+G222-H222</f>
        <v>-21</v>
      </c>
      <c r="N222" s="12">
        <f t="shared" si="5"/>
        <v>-3198.0899999999997</v>
      </c>
    </row>
    <row r="223" spans="1:14" s="4" customFormat="1" ht="12.75">
      <c r="A223" s="9" t="s">
        <v>231</v>
      </c>
      <c r="B223" s="5">
        <v>939</v>
      </c>
      <c r="C223" s="10">
        <v>42900</v>
      </c>
      <c r="D223" s="5" t="s">
        <v>184</v>
      </c>
      <c r="E223" s="10">
        <v>42887</v>
      </c>
      <c r="F223" s="5">
        <v>0</v>
      </c>
      <c r="G223" s="10">
        <v>42900</v>
      </c>
      <c r="H223" s="10">
        <v>42921</v>
      </c>
      <c r="I223" s="5" t="s">
        <v>228</v>
      </c>
      <c r="J223" s="5">
        <v>326.81</v>
      </c>
      <c r="K223" s="5">
        <v>58.93</v>
      </c>
      <c r="L223" s="5">
        <v>267.88</v>
      </c>
      <c r="M223" s="11">
        <f>+G223-H223</f>
        <v>-21</v>
      </c>
      <c r="N223" s="12">
        <f t="shared" si="5"/>
        <v>-5625.48</v>
      </c>
    </row>
    <row r="224" spans="1:14" s="4" customFormat="1" ht="12.75">
      <c r="A224" s="9" t="s">
        <v>112</v>
      </c>
      <c r="B224" s="5">
        <v>707</v>
      </c>
      <c r="C224" s="10">
        <v>42868</v>
      </c>
      <c r="D224" s="5" t="s">
        <v>15</v>
      </c>
      <c r="E224" s="10">
        <v>42859</v>
      </c>
      <c r="F224" s="5">
        <v>0</v>
      </c>
      <c r="G224" s="10">
        <v>42868</v>
      </c>
      <c r="H224" s="10">
        <v>42890</v>
      </c>
      <c r="I224" s="5" t="s">
        <v>228</v>
      </c>
      <c r="J224" s="13">
        <v>5955.78</v>
      </c>
      <c r="K224" s="13">
        <v>1073.99</v>
      </c>
      <c r="L224" s="13">
        <v>4881.79</v>
      </c>
      <c r="M224" s="11">
        <f>+G224-H224</f>
        <v>-22</v>
      </c>
      <c r="N224" s="12">
        <f t="shared" si="5"/>
        <v>-107399.38</v>
      </c>
    </row>
    <row r="225" spans="1:14" s="4" customFormat="1" ht="12.75">
      <c r="A225" s="9" t="s">
        <v>227</v>
      </c>
      <c r="B225" s="5">
        <v>884</v>
      </c>
      <c r="C225" s="10">
        <v>42885</v>
      </c>
      <c r="D225" s="5" t="str">
        <f>"41701672587"</f>
        <v>41701672587</v>
      </c>
      <c r="E225" s="10">
        <v>42878</v>
      </c>
      <c r="F225" s="5">
        <v>0</v>
      </c>
      <c r="G225" s="10">
        <v>42886</v>
      </c>
      <c r="H225" s="10">
        <v>42908</v>
      </c>
      <c r="I225" s="5" t="s">
        <v>228</v>
      </c>
      <c r="J225" s="13">
        <v>1015.67</v>
      </c>
      <c r="K225" s="5">
        <v>168.63</v>
      </c>
      <c r="L225" s="5">
        <v>847.04</v>
      </c>
      <c r="M225" s="11">
        <f>+G225-H225</f>
        <v>-22</v>
      </c>
      <c r="N225" s="12">
        <f t="shared" si="5"/>
        <v>-18634.879999999997</v>
      </c>
    </row>
    <row r="226" spans="1:14" s="4" customFormat="1" ht="12.75">
      <c r="A226" s="9" t="s">
        <v>227</v>
      </c>
      <c r="B226" s="5">
        <v>890</v>
      </c>
      <c r="C226" s="10">
        <v>42886</v>
      </c>
      <c r="D226" s="5" t="str">
        <f>"41701672585"</f>
        <v>41701672585</v>
      </c>
      <c r="E226" s="10">
        <v>42878</v>
      </c>
      <c r="F226" s="5">
        <v>0</v>
      </c>
      <c r="G226" s="10">
        <v>42886</v>
      </c>
      <c r="H226" s="10">
        <v>42908</v>
      </c>
      <c r="I226" s="5" t="s">
        <v>228</v>
      </c>
      <c r="J226" s="5">
        <v>171.53</v>
      </c>
      <c r="K226" s="5">
        <v>30.93</v>
      </c>
      <c r="L226" s="5">
        <v>140.6</v>
      </c>
      <c r="M226" s="11">
        <f>+G226-H226</f>
        <v>-22</v>
      </c>
      <c r="N226" s="12">
        <f t="shared" si="5"/>
        <v>-3093.2</v>
      </c>
    </row>
    <row r="227" spans="1:14" s="4" customFormat="1" ht="12.75">
      <c r="A227" s="9" t="s">
        <v>227</v>
      </c>
      <c r="B227" s="5">
        <v>886</v>
      </c>
      <c r="C227" s="10">
        <v>42885</v>
      </c>
      <c r="D227" s="5" t="str">
        <f>"41701672592"</f>
        <v>41701672592</v>
      </c>
      <c r="E227" s="10">
        <v>42878</v>
      </c>
      <c r="F227" s="5">
        <v>0</v>
      </c>
      <c r="G227" s="10">
        <v>42886</v>
      </c>
      <c r="H227" s="10">
        <v>42908</v>
      </c>
      <c r="I227" s="5" t="s">
        <v>228</v>
      </c>
      <c r="J227" s="5">
        <v>10.26</v>
      </c>
      <c r="K227" s="5">
        <v>1.85</v>
      </c>
      <c r="L227" s="5">
        <v>8.41</v>
      </c>
      <c r="M227" s="11">
        <f>+G227-H227</f>
        <v>-22</v>
      </c>
      <c r="N227" s="12">
        <f t="shared" si="5"/>
        <v>-185.02</v>
      </c>
    </row>
    <row r="228" spans="1:14" s="4" customFormat="1" ht="12.75">
      <c r="A228" s="9" t="s">
        <v>227</v>
      </c>
      <c r="B228" s="5">
        <v>889</v>
      </c>
      <c r="C228" s="10">
        <v>42885</v>
      </c>
      <c r="D228" s="5" t="str">
        <f>"41701672596"</f>
        <v>41701672596</v>
      </c>
      <c r="E228" s="10">
        <v>42878</v>
      </c>
      <c r="F228" s="5">
        <v>0</v>
      </c>
      <c r="G228" s="10">
        <v>42886</v>
      </c>
      <c r="H228" s="10">
        <v>42908</v>
      </c>
      <c r="I228" s="5" t="s">
        <v>228</v>
      </c>
      <c r="J228" s="5">
        <v>311.95</v>
      </c>
      <c r="K228" s="5">
        <v>39.6</v>
      </c>
      <c r="L228" s="5">
        <v>272.35</v>
      </c>
      <c r="M228" s="11">
        <f>+G228-H228</f>
        <v>-22</v>
      </c>
      <c r="N228" s="12">
        <f t="shared" si="5"/>
        <v>-5991.700000000001</v>
      </c>
    </row>
    <row r="229" spans="1:14" s="4" customFormat="1" ht="12.75">
      <c r="A229" s="9" t="s">
        <v>227</v>
      </c>
      <c r="B229" s="5">
        <v>887</v>
      </c>
      <c r="C229" s="10">
        <v>42885</v>
      </c>
      <c r="D229" s="5" t="str">
        <f>"41701672590"</f>
        <v>41701672590</v>
      </c>
      <c r="E229" s="10">
        <v>42878</v>
      </c>
      <c r="F229" s="5">
        <v>0</v>
      </c>
      <c r="G229" s="10">
        <v>42886</v>
      </c>
      <c r="H229" s="10">
        <v>42908</v>
      </c>
      <c r="I229" s="5" t="s">
        <v>228</v>
      </c>
      <c r="J229" s="5">
        <v>186.28</v>
      </c>
      <c r="K229" s="5">
        <v>33.59</v>
      </c>
      <c r="L229" s="5">
        <v>152.69</v>
      </c>
      <c r="M229" s="11">
        <f>+G229-H229</f>
        <v>-22</v>
      </c>
      <c r="N229" s="12">
        <f t="shared" si="5"/>
        <v>-3359.18</v>
      </c>
    </row>
    <row r="230" spans="1:14" s="4" customFormat="1" ht="12.75">
      <c r="A230" s="9" t="s">
        <v>227</v>
      </c>
      <c r="B230" s="5">
        <v>883</v>
      </c>
      <c r="C230" s="10">
        <v>42885</v>
      </c>
      <c r="D230" s="5" t="str">
        <f>"41701672586"</f>
        <v>41701672586</v>
      </c>
      <c r="E230" s="10">
        <v>42878</v>
      </c>
      <c r="F230" s="5">
        <v>0</v>
      </c>
      <c r="G230" s="10">
        <v>42886</v>
      </c>
      <c r="H230" s="10">
        <v>42908</v>
      </c>
      <c r="I230" s="5" t="s">
        <v>228</v>
      </c>
      <c r="J230" s="5">
        <v>526.53</v>
      </c>
      <c r="K230" s="5">
        <v>94.95</v>
      </c>
      <c r="L230" s="5">
        <v>431.58</v>
      </c>
      <c r="M230" s="11">
        <f>+G230-H230</f>
        <v>-22</v>
      </c>
      <c r="N230" s="12">
        <f t="shared" si="5"/>
        <v>-9494.76</v>
      </c>
    </row>
    <row r="231" spans="1:14" s="4" customFormat="1" ht="12.75">
      <c r="A231" s="9" t="s">
        <v>227</v>
      </c>
      <c r="B231" s="5">
        <v>893</v>
      </c>
      <c r="C231" s="10">
        <v>42886</v>
      </c>
      <c r="D231" s="5" t="str">
        <f>"41701672593"</f>
        <v>41701672593</v>
      </c>
      <c r="E231" s="10">
        <v>42878</v>
      </c>
      <c r="F231" s="5">
        <v>0</v>
      </c>
      <c r="G231" s="10">
        <v>42886</v>
      </c>
      <c r="H231" s="10">
        <v>42908</v>
      </c>
      <c r="I231" s="5" t="s">
        <v>228</v>
      </c>
      <c r="J231" s="5">
        <v>138.19</v>
      </c>
      <c r="K231" s="5">
        <v>24.92</v>
      </c>
      <c r="L231" s="5">
        <v>113.27</v>
      </c>
      <c r="M231" s="11">
        <f>+G231-H231</f>
        <v>-22</v>
      </c>
      <c r="N231" s="12">
        <f t="shared" si="5"/>
        <v>-2491.94</v>
      </c>
    </row>
    <row r="232" spans="1:14" s="4" customFormat="1" ht="12.75">
      <c r="A232" s="9" t="s">
        <v>227</v>
      </c>
      <c r="B232" s="5">
        <v>894</v>
      </c>
      <c r="C232" s="10">
        <v>42886</v>
      </c>
      <c r="D232" s="5" t="str">
        <f>"41701672594"</f>
        <v>41701672594</v>
      </c>
      <c r="E232" s="10">
        <v>42878</v>
      </c>
      <c r="F232" s="5">
        <v>0</v>
      </c>
      <c r="G232" s="10">
        <v>42886</v>
      </c>
      <c r="H232" s="10">
        <v>42908</v>
      </c>
      <c r="I232" s="5" t="s">
        <v>228</v>
      </c>
      <c r="J232" s="5">
        <v>434.53</v>
      </c>
      <c r="K232" s="5">
        <v>78.36</v>
      </c>
      <c r="L232" s="5">
        <v>356.17</v>
      </c>
      <c r="M232" s="11">
        <f>+G232-H232</f>
        <v>-22</v>
      </c>
      <c r="N232" s="12">
        <f t="shared" si="5"/>
        <v>-7835.740000000001</v>
      </c>
    </row>
    <row r="233" spans="1:14" s="4" customFormat="1" ht="12.75">
      <c r="A233" s="9" t="s">
        <v>227</v>
      </c>
      <c r="B233" s="5">
        <v>892</v>
      </c>
      <c r="C233" s="10">
        <v>42886</v>
      </c>
      <c r="D233" s="5" t="str">
        <f>"41701672591"</f>
        <v>41701672591</v>
      </c>
      <c r="E233" s="10">
        <v>42878</v>
      </c>
      <c r="F233" s="5">
        <v>0</v>
      </c>
      <c r="G233" s="10">
        <v>42886</v>
      </c>
      <c r="H233" s="10">
        <v>42908</v>
      </c>
      <c r="I233" s="5" t="s">
        <v>228</v>
      </c>
      <c r="J233" s="13">
        <v>2260.1</v>
      </c>
      <c r="K233" s="5">
        <v>407.56</v>
      </c>
      <c r="L233" s="13">
        <v>1852.54</v>
      </c>
      <c r="M233" s="11">
        <f>+G233-H233</f>
        <v>-22</v>
      </c>
      <c r="N233" s="12">
        <f t="shared" si="5"/>
        <v>-40755.88</v>
      </c>
    </row>
    <row r="234" spans="1:14" s="4" customFormat="1" ht="12.75">
      <c r="A234" s="9" t="s">
        <v>227</v>
      </c>
      <c r="B234" s="5">
        <v>891</v>
      </c>
      <c r="C234" s="10">
        <v>42886</v>
      </c>
      <c r="D234" s="5" t="str">
        <f>"41701672588"</f>
        <v>41701672588</v>
      </c>
      <c r="E234" s="10">
        <v>42878</v>
      </c>
      <c r="F234" s="5">
        <v>0</v>
      </c>
      <c r="G234" s="10">
        <v>42886</v>
      </c>
      <c r="H234" s="10">
        <v>42908</v>
      </c>
      <c r="I234" s="5" t="s">
        <v>228</v>
      </c>
      <c r="J234" s="5">
        <v>62.15</v>
      </c>
      <c r="K234" s="5">
        <v>11.21</v>
      </c>
      <c r="L234" s="5">
        <v>50.94</v>
      </c>
      <c r="M234" s="11">
        <f>+G234-H234</f>
        <v>-22</v>
      </c>
      <c r="N234" s="12">
        <f t="shared" si="5"/>
        <v>-1120.6799999999998</v>
      </c>
    </row>
    <row r="235" spans="1:14" s="4" customFormat="1" ht="12.75">
      <c r="A235" s="9" t="s">
        <v>227</v>
      </c>
      <c r="B235" s="5">
        <v>885</v>
      </c>
      <c r="C235" s="10">
        <v>42885</v>
      </c>
      <c r="D235" s="5" t="str">
        <f>"41701672589"</f>
        <v>41701672589</v>
      </c>
      <c r="E235" s="10">
        <v>42878</v>
      </c>
      <c r="F235" s="5">
        <v>0</v>
      </c>
      <c r="G235" s="10">
        <v>42886</v>
      </c>
      <c r="H235" s="10">
        <v>42908</v>
      </c>
      <c r="I235" s="5" t="s">
        <v>228</v>
      </c>
      <c r="J235" s="5">
        <v>579.27</v>
      </c>
      <c r="K235" s="5">
        <v>77.74</v>
      </c>
      <c r="L235" s="5">
        <v>501.53</v>
      </c>
      <c r="M235" s="11">
        <f>+G235-H235</f>
        <v>-22</v>
      </c>
      <c r="N235" s="12">
        <f t="shared" si="5"/>
        <v>-11033.66</v>
      </c>
    </row>
    <row r="236" spans="1:14" s="4" customFormat="1" ht="12.75">
      <c r="A236" s="9" t="s">
        <v>227</v>
      </c>
      <c r="B236" s="5">
        <v>888</v>
      </c>
      <c r="C236" s="10">
        <v>42885</v>
      </c>
      <c r="D236" s="5" t="str">
        <f>"41701672595"</f>
        <v>41701672595</v>
      </c>
      <c r="E236" s="10">
        <v>42878</v>
      </c>
      <c r="F236" s="5">
        <v>0</v>
      </c>
      <c r="G236" s="10">
        <v>42886</v>
      </c>
      <c r="H236" s="10">
        <v>42908</v>
      </c>
      <c r="I236" s="5" t="s">
        <v>228</v>
      </c>
      <c r="J236" s="13">
        <v>2093.42</v>
      </c>
      <c r="K236" s="5">
        <v>353.08</v>
      </c>
      <c r="L236" s="13">
        <v>1740.34</v>
      </c>
      <c r="M236" s="11">
        <f>+G236-H236</f>
        <v>-22</v>
      </c>
      <c r="N236" s="12">
        <f t="shared" si="5"/>
        <v>-38287.479999999996</v>
      </c>
    </row>
    <row r="237" spans="1:14" s="4" customFormat="1" ht="12.75">
      <c r="A237" s="9" t="s">
        <v>5</v>
      </c>
      <c r="B237" s="5">
        <v>943</v>
      </c>
      <c r="C237" s="10">
        <v>42900</v>
      </c>
      <c r="D237" s="5" t="str">
        <f>"0001101959"</f>
        <v>0001101959</v>
      </c>
      <c r="E237" s="10">
        <v>42886</v>
      </c>
      <c r="F237" s="5">
        <v>0</v>
      </c>
      <c r="G237" s="10">
        <v>42900</v>
      </c>
      <c r="H237" s="10">
        <v>42922</v>
      </c>
      <c r="I237" s="5" t="s">
        <v>228</v>
      </c>
      <c r="J237" s="5">
        <v>4.5</v>
      </c>
      <c r="K237" s="5">
        <v>0</v>
      </c>
      <c r="L237" s="5">
        <v>4.5</v>
      </c>
      <c r="M237" s="11">
        <f>+G237-H237</f>
        <v>-22</v>
      </c>
      <c r="N237" s="12">
        <f t="shared" si="5"/>
        <v>-99</v>
      </c>
    </row>
    <row r="238" spans="1:14" s="4" customFormat="1" ht="12.75">
      <c r="A238" s="9" t="s">
        <v>5</v>
      </c>
      <c r="B238" s="5">
        <v>944</v>
      </c>
      <c r="C238" s="10">
        <v>42900</v>
      </c>
      <c r="D238" s="5" t="str">
        <f>"0001101957"</f>
        <v>0001101957</v>
      </c>
      <c r="E238" s="10">
        <v>42886</v>
      </c>
      <c r="F238" s="5">
        <v>0</v>
      </c>
      <c r="G238" s="10">
        <v>42900</v>
      </c>
      <c r="H238" s="10">
        <v>42922</v>
      </c>
      <c r="I238" s="5" t="s">
        <v>228</v>
      </c>
      <c r="J238" s="5">
        <v>17.85</v>
      </c>
      <c r="K238" s="5">
        <v>0</v>
      </c>
      <c r="L238" s="5">
        <v>17.85</v>
      </c>
      <c r="M238" s="11">
        <f>+G238-H238</f>
        <v>-22</v>
      </c>
      <c r="N238" s="12">
        <f t="shared" si="5"/>
        <v>-392.70000000000005</v>
      </c>
    </row>
    <row r="239" spans="1:14" s="4" customFormat="1" ht="12.75">
      <c r="A239" s="9" t="s">
        <v>94</v>
      </c>
      <c r="B239" s="5">
        <v>395</v>
      </c>
      <c r="C239" s="10">
        <v>42829</v>
      </c>
      <c r="D239" s="5" t="str">
        <f>"0002108437"</f>
        <v>0002108437</v>
      </c>
      <c r="E239" s="10">
        <v>42794</v>
      </c>
      <c r="F239" s="5">
        <v>0</v>
      </c>
      <c r="G239" s="10">
        <v>42830</v>
      </c>
      <c r="H239" s="10">
        <v>42853</v>
      </c>
      <c r="I239" s="5" t="s">
        <v>228</v>
      </c>
      <c r="J239" s="5">
        <v>336.72</v>
      </c>
      <c r="K239" s="5">
        <v>60.72</v>
      </c>
      <c r="L239" s="5">
        <v>276</v>
      </c>
      <c r="M239" s="11">
        <f>+G239-H239</f>
        <v>-23</v>
      </c>
      <c r="N239" s="12">
        <f t="shared" si="5"/>
        <v>-6348</v>
      </c>
    </row>
    <row r="240" spans="1:14" s="4" customFormat="1" ht="25.5">
      <c r="A240" s="9" t="s">
        <v>209</v>
      </c>
      <c r="B240" s="5">
        <v>696</v>
      </c>
      <c r="C240" s="10">
        <v>42867</v>
      </c>
      <c r="D240" s="5" t="s">
        <v>210</v>
      </c>
      <c r="E240" s="10">
        <v>42825</v>
      </c>
      <c r="F240" s="5">
        <v>0</v>
      </c>
      <c r="G240" s="10">
        <v>42868</v>
      </c>
      <c r="H240" s="10">
        <v>42891</v>
      </c>
      <c r="I240" s="5" t="s">
        <v>228</v>
      </c>
      <c r="J240" s="13">
        <v>4392.2</v>
      </c>
      <c r="K240" s="5">
        <v>399.29</v>
      </c>
      <c r="L240" s="13">
        <v>3992.91</v>
      </c>
      <c r="M240" s="11">
        <f>+G240-H240</f>
        <v>-23</v>
      </c>
      <c r="N240" s="12">
        <f t="shared" si="5"/>
        <v>-91836.93</v>
      </c>
    </row>
    <row r="241" spans="1:14" s="4" customFormat="1" ht="12.75">
      <c r="A241" s="9" t="s">
        <v>211</v>
      </c>
      <c r="B241" s="5">
        <v>408</v>
      </c>
      <c r="C241" s="10">
        <v>42830</v>
      </c>
      <c r="D241" s="5" t="s">
        <v>212</v>
      </c>
      <c r="E241" s="10">
        <v>42802</v>
      </c>
      <c r="F241" s="5">
        <v>0</v>
      </c>
      <c r="G241" s="10">
        <v>42830</v>
      </c>
      <c r="H241" s="10">
        <v>42855</v>
      </c>
      <c r="I241" s="5" t="s">
        <v>228</v>
      </c>
      <c r="J241" s="13">
        <v>5307</v>
      </c>
      <c r="K241" s="5">
        <v>957</v>
      </c>
      <c r="L241" s="13">
        <v>4350</v>
      </c>
      <c r="M241" s="11">
        <f>+G241-H241</f>
        <v>-25</v>
      </c>
      <c r="N241" s="12">
        <f t="shared" si="5"/>
        <v>-108750</v>
      </c>
    </row>
    <row r="242" spans="1:14" s="4" customFormat="1" ht="25.5">
      <c r="A242" s="9" t="s">
        <v>209</v>
      </c>
      <c r="B242" s="5">
        <v>380</v>
      </c>
      <c r="C242" s="10">
        <v>42828</v>
      </c>
      <c r="D242" s="5" t="s">
        <v>213</v>
      </c>
      <c r="E242" s="10">
        <v>42794</v>
      </c>
      <c r="F242" s="5">
        <v>0</v>
      </c>
      <c r="G242" s="10">
        <v>42830</v>
      </c>
      <c r="H242" s="10">
        <v>42855</v>
      </c>
      <c r="I242" s="5" t="s">
        <v>228</v>
      </c>
      <c r="J242" s="13">
        <v>4392.2</v>
      </c>
      <c r="K242" s="5">
        <v>399.29</v>
      </c>
      <c r="L242" s="13">
        <v>3992.91</v>
      </c>
      <c r="M242" s="11">
        <f>+G242-H242</f>
        <v>-25</v>
      </c>
      <c r="N242" s="12">
        <f t="shared" si="5"/>
        <v>-99822.75</v>
      </c>
    </row>
    <row r="243" spans="1:14" s="4" customFormat="1" ht="12.75">
      <c r="A243" s="9" t="s">
        <v>41</v>
      </c>
      <c r="B243" s="5">
        <v>372</v>
      </c>
      <c r="C243" s="10">
        <v>42828</v>
      </c>
      <c r="D243" s="5" t="s">
        <v>42</v>
      </c>
      <c r="E243" s="10">
        <v>42794</v>
      </c>
      <c r="F243" s="5">
        <v>0</v>
      </c>
      <c r="G243" s="10">
        <v>42830</v>
      </c>
      <c r="H243" s="10">
        <v>42855</v>
      </c>
      <c r="I243" s="5" t="s">
        <v>228</v>
      </c>
      <c r="J243" s="5">
        <v>53.07</v>
      </c>
      <c r="K243" s="5">
        <v>9.57</v>
      </c>
      <c r="L243" s="5">
        <v>43.5</v>
      </c>
      <c r="M243" s="11">
        <f>+G243-H243</f>
        <v>-25</v>
      </c>
      <c r="N243" s="12">
        <f t="shared" si="5"/>
        <v>-1087.5</v>
      </c>
    </row>
    <row r="244" spans="1:14" s="4" customFormat="1" ht="12.75">
      <c r="A244" s="9" t="s">
        <v>43</v>
      </c>
      <c r="B244" s="5">
        <v>405</v>
      </c>
      <c r="C244" s="10">
        <v>42830</v>
      </c>
      <c r="D244" s="5" t="s">
        <v>113</v>
      </c>
      <c r="E244" s="10">
        <v>42794</v>
      </c>
      <c r="F244" s="5">
        <v>0</v>
      </c>
      <c r="G244" s="10">
        <v>42830</v>
      </c>
      <c r="H244" s="10">
        <v>42855</v>
      </c>
      <c r="I244" s="5" t="s">
        <v>228</v>
      </c>
      <c r="J244" s="13">
        <v>2135.41</v>
      </c>
      <c r="K244" s="5">
        <v>385.07</v>
      </c>
      <c r="L244" s="13">
        <v>1750.34</v>
      </c>
      <c r="M244" s="11">
        <f>+G244-H244</f>
        <v>-25</v>
      </c>
      <c r="N244" s="12">
        <f t="shared" si="5"/>
        <v>-43758.5</v>
      </c>
    </row>
    <row r="245" spans="1:14" s="4" customFormat="1" ht="12.75">
      <c r="A245" s="9" t="s">
        <v>43</v>
      </c>
      <c r="B245" s="5">
        <v>406</v>
      </c>
      <c r="C245" s="10">
        <v>42830</v>
      </c>
      <c r="D245" s="5" t="s">
        <v>230</v>
      </c>
      <c r="E245" s="10">
        <v>42794</v>
      </c>
      <c r="F245" s="5">
        <v>0</v>
      </c>
      <c r="G245" s="10">
        <v>42830</v>
      </c>
      <c r="H245" s="10">
        <v>42855</v>
      </c>
      <c r="I245" s="5" t="s">
        <v>228</v>
      </c>
      <c r="J245" s="13">
        <v>2669.26</v>
      </c>
      <c r="K245" s="5">
        <v>481.34</v>
      </c>
      <c r="L245" s="13">
        <v>2187.92</v>
      </c>
      <c r="M245" s="11">
        <f>+G245-H245</f>
        <v>-25</v>
      </c>
      <c r="N245" s="12">
        <f t="shared" si="5"/>
        <v>-54698</v>
      </c>
    </row>
    <row r="246" spans="1:14" s="4" customFormat="1" ht="12.75">
      <c r="A246" s="9" t="s">
        <v>39</v>
      </c>
      <c r="B246" s="5">
        <v>789</v>
      </c>
      <c r="C246" s="10">
        <v>42877</v>
      </c>
      <c r="D246" s="5" t="str">
        <f>"17034"</f>
        <v>17034</v>
      </c>
      <c r="E246" s="10">
        <v>42844</v>
      </c>
      <c r="F246" s="5">
        <v>0</v>
      </c>
      <c r="G246" s="10">
        <v>42878</v>
      </c>
      <c r="H246" s="10">
        <v>42904</v>
      </c>
      <c r="I246" s="5" t="s">
        <v>228</v>
      </c>
      <c r="J246" s="13">
        <v>2202.12</v>
      </c>
      <c r="K246" s="5">
        <v>397.1</v>
      </c>
      <c r="L246" s="13">
        <v>1805.02</v>
      </c>
      <c r="M246" s="11">
        <f>+G246-H246</f>
        <v>-26</v>
      </c>
      <c r="N246" s="12">
        <f t="shared" si="5"/>
        <v>-46930.52</v>
      </c>
    </row>
    <row r="247" spans="1:14" s="4" customFormat="1" ht="12.75">
      <c r="A247" s="9" t="s">
        <v>94</v>
      </c>
      <c r="B247" s="5">
        <v>946</v>
      </c>
      <c r="C247" s="10">
        <v>42900</v>
      </c>
      <c r="D247" s="5" t="str">
        <f>"0001116164"</f>
        <v>0001116164</v>
      </c>
      <c r="E247" s="10">
        <v>42886</v>
      </c>
      <c r="F247" s="5">
        <v>0</v>
      </c>
      <c r="G247" s="10">
        <v>42900</v>
      </c>
      <c r="H247" s="10">
        <v>42927</v>
      </c>
      <c r="I247" s="5" t="s">
        <v>228</v>
      </c>
      <c r="J247" s="5">
        <v>265.4</v>
      </c>
      <c r="K247" s="5">
        <v>0</v>
      </c>
      <c r="L247" s="5">
        <v>265.4</v>
      </c>
      <c r="M247" s="11">
        <f>+G247-H247</f>
        <v>-27</v>
      </c>
      <c r="N247" s="12">
        <f t="shared" si="5"/>
        <v>-7165.799999999999</v>
      </c>
    </row>
    <row r="248" spans="1:14" s="4" customFormat="1" ht="12.75">
      <c r="A248" s="9" t="s">
        <v>94</v>
      </c>
      <c r="B248" s="5">
        <v>946</v>
      </c>
      <c r="C248" s="10">
        <v>42900</v>
      </c>
      <c r="D248" s="5" t="str">
        <f>"0001116514"</f>
        <v>0001116514</v>
      </c>
      <c r="E248" s="10">
        <v>42886</v>
      </c>
      <c r="F248" s="5">
        <v>0</v>
      </c>
      <c r="G248" s="10">
        <v>42900</v>
      </c>
      <c r="H248" s="10">
        <v>42927</v>
      </c>
      <c r="I248" s="5" t="s">
        <v>228</v>
      </c>
      <c r="J248" s="5">
        <v>829.6</v>
      </c>
      <c r="K248" s="5">
        <v>0</v>
      </c>
      <c r="L248" s="5">
        <v>829.6</v>
      </c>
      <c r="M248" s="11">
        <f>+G248-H248</f>
        <v>-27</v>
      </c>
      <c r="N248" s="12">
        <f t="shared" si="5"/>
        <v>-22399.2</v>
      </c>
    </row>
    <row r="249" spans="1:14" s="4" customFormat="1" ht="25.5">
      <c r="A249" s="9" t="s">
        <v>44</v>
      </c>
      <c r="B249" s="5">
        <v>705</v>
      </c>
      <c r="C249" s="10">
        <v>42868</v>
      </c>
      <c r="D249" s="5" t="s">
        <v>45</v>
      </c>
      <c r="E249" s="10">
        <v>42865</v>
      </c>
      <c r="F249" s="5">
        <v>0</v>
      </c>
      <c r="G249" s="10">
        <v>42868</v>
      </c>
      <c r="H249" s="10">
        <v>42895</v>
      </c>
      <c r="I249" s="5" t="s">
        <v>26</v>
      </c>
      <c r="J249" s="13">
        <v>13500</v>
      </c>
      <c r="K249" s="5">
        <v>0</v>
      </c>
      <c r="L249" s="13">
        <v>13500</v>
      </c>
      <c r="M249" s="11">
        <f>+G249-H249</f>
        <v>-27</v>
      </c>
      <c r="N249" s="12">
        <f t="shared" si="5"/>
        <v>-364500</v>
      </c>
    </row>
    <row r="250" spans="1:14" s="4" customFormat="1" ht="38.25">
      <c r="A250" s="9" t="s">
        <v>35</v>
      </c>
      <c r="B250" s="5">
        <v>698</v>
      </c>
      <c r="C250" s="10">
        <v>42867</v>
      </c>
      <c r="D250" s="5" t="s">
        <v>46</v>
      </c>
      <c r="E250" s="10">
        <v>42825</v>
      </c>
      <c r="F250" s="5">
        <v>0</v>
      </c>
      <c r="G250" s="10">
        <v>42868</v>
      </c>
      <c r="H250" s="10">
        <v>42895</v>
      </c>
      <c r="I250" s="5" t="s">
        <v>228</v>
      </c>
      <c r="J250" s="13">
        <v>5350.39</v>
      </c>
      <c r="K250" s="5">
        <v>254.78</v>
      </c>
      <c r="L250" s="13">
        <v>5095.61</v>
      </c>
      <c r="M250" s="11">
        <f>+G250-H250</f>
        <v>-27</v>
      </c>
      <c r="N250" s="12">
        <f t="shared" si="5"/>
        <v>-137581.47</v>
      </c>
    </row>
    <row r="251" spans="1:14" s="4" customFormat="1" ht="12.75">
      <c r="A251" s="9" t="s">
        <v>173</v>
      </c>
      <c r="B251" s="5">
        <v>784</v>
      </c>
      <c r="C251" s="10">
        <v>42877</v>
      </c>
      <c r="D251" s="5" t="str">
        <f>"0000007821"</f>
        <v>0000007821</v>
      </c>
      <c r="E251" s="10">
        <v>42846</v>
      </c>
      <c r="F251" s="5">
        <v>0</v>
      </c>
      <c r="G251" s="10">
        <v>42878</v>
      </c>
      <c r="H251" s="10">
        <v>42906</v>
      </c>
      <c r="I251" s="5" t="s">
        <v>228</v>
      </c>
      <c r="J251" s="5">
        <v>66.44</v>
      </c>
      <c r="K251" s="5">
        <v>11.98</v>
      </c>
      <c r="L251" s="5">
        <v>54.46</v>
      </c>
      <c r="M251" s="11">
        <f>+G251-H251</f>
        <v>-28</v>
      </c>
      <c r="N251" s="12">
        <f t="shared" si="5"/>
        <v>-1524.88</v>
      </c>
    </row>
    <row r="252" spans="1:14" s="4" customFormat="1" ht="12.75">
      <c r="A252" s="9" t="s">
        <v>173</v>
      </c>
      <c r="B252" s="5">
        <v>779</v>
      </c>
      <c r="C252" s="10">
        <v>42877</v>
      </c>
      <c r="D252" s="5" t="str">
        <f>"0000007820"</f>
        <v>0000007820</v>
      </c>
      <c r="E252" s="10">
        <v>42846</v>
      </c>
      <c r="F252" s="5">
        <v>0</v>
      </c>
      <c r="G252" s="10">
        <v>42878</v>
      </c>
      <c r="H252" s="10">
        <v>42906</v>
      </c>
      <c r="I252" s="5" t="s">
        <v>228</v>
      </c>
      <c r="J252" s="5">
        <v>60.87</v>
      </c>
      <c r="K252" s="5">
        <v>10.98</v>
      </c>
      <c r="L252" s="5">
        <v>49.89</v>
      </c>
      <c r="M252" s="11">
        <f>+G252-H252</f>
        <v>-28</v>
      </c>
      <c r="N252" s="12">
        <f t="shared" si="5"/>
        <v>-1396.92</v>
      </c>
    </row>
    <row r="253" spans="1:14" s="4" customFormat="1" ht="38.25">
      <c r="A253" s="9" t="s">
        <v>92</v>
      </c>
      <c r="B253" s="5">
        <v>399</v>
      </c>
      <c r="C253" s="10">
        <v>42829</v>
      </c>
      <c r="D253" s="5" t="s">
        <v>47</v>
      </c>
      <c r="E253" s="10">
        <v>42799</v>
      </c>
      <c r="F253" s="5">
        <v>0</v>
      </c>
      <c r="G253" s="10">
        <v>42830</v>
      </c>
      <c r="H253" s="10">
        <v>42860</v>
      </c>
      <c r="I253" s="5" t="s">
        <v>228</v>
      </c>
      <c r="J253" s="5">
        <v>898.56</v>
      </c>
      <c r="K253" s="5">
        <v>34.56</v>
      </c>
      <c r="L253" s="5">
        <v>864</v>
      </c>
      <c r="M253" s="11">
        <f>+G253-H253</f>
        <v>-30</v>
      </c>
      <c r="N253" s="12">
        <f t="shared" si="5"/>
        <v>-25920</v>
      </c>
    </row>
    <row r="254" spans="1:14" s="4" customFormat="1" ht="25.5">
      <c r="A254" s="9" t="s">
        <v>133</v>
      </c>
      <c r="B254" s="5">
        <v>926</v>
      </c>
      <c r="C254" s="10">
        <v>42900</v>
      </c>
      <c r="D254" s="5" t="s">
        <v>48</v>
      </c>
      <c r="E254" s="10">
        <v>42854</v>
      </c>
      <c r="F254" s="5">
        <v>0</v>
      </c>
      <c r="G254" s="10">
        <v>42900</v>
      </c>
      <c r="H254" s="10">
        <v>42930</v>
      </c>
      <c r="I254" s="5" t="s">
        <v>228</v>
      </c>
      <c r="J254" s="5">
        <v>684.78</v>
      </c>
      <c r="K254" s="5">
        <v>26.34</v>
      </c>
      <c r="L254" s="5">
        <v>658.44</v>
      </c>
      <c r="M254" s="11">
        <f>+G254-H254</f>
        <v>-30</v>
      </c>
      <c r="N254" s="12">
        <f t="shared" si="5"/>
        <v>-19753.2</v>
      </c>
    </row>
    <row r="255" spans="1:14" s="4" customFormat="1" ht="38.25">
      <c r="A255" s="9" t="s">
        <v>35</v>
      </c>
      <c r="B255" s="5">
        <v>411</v>
      </c>
      <c r="C255" s="10">
        <v>42830</v>
      </c>
      <c r="D255" s="5" t="s">
        <v>49</v>
      </c>
      <c r="E255" s="10">
        <v>42794</v>
      </c>
      <c r="F255" s="5">
        <v>0</v>
      </c>
      <c r="G255" s="10">
        <v>42830</v>
      </c>
      <c r="H255" s="10">
        <v>42862</v>
      </c>
      <c r="I255" s="5" t="s">
        <v>228</v>
      </c>
      <c r="J255" s="13">
        <v>5350.39</v>
      </c>
      <c r="K255" s="5">
        <v>254.78</v>
      </c>
      <c r="L255" s="13">
        <v>5095.61</v>
      </c>
      <c r="M255" s="11">
        <f>+G255-H255</f>
        <v>-32</v>
      </c>
      <c r="N255" s="12">
        <f t="shared" si="5"/>
        <v>-163059.52</v>
      </c>
    </row>
    <row r="256" spans="1:14" s="4" customFormat="1" ht="25.5">
      <c r="A256" s="9" t="s">
        <v>209</v>
      </c>
      <c r="B256" s="5">
        <v>400</v>
      </c>
      <c r="C256" s="10">
        <v>42829</v>
      </c>
      <c r="D256" s="5" t="s">
        <v>50</v>
      </c>
      <c r="E256" s="10">
        <v>42766</v>
      </c>
      <c r="F256" s="5">
        <v>0</v>
      </c>
      <c r="G256" s="10">
        <v>42830</v>
      </c>
      <c r="H256" s="10">
        <v>42867</v>
      </c>
      <c r="I256" s="5" t="s">
        <v>228</v>
      </c>
      <c r="J256" s="13">
        <v>4392.2</v>
      </c>
      <c r="K256" s="5">
        <v>399.29</v>
      </c>
      <c r="L256" s="13">
        <v>3992.91</v>
      </c>
      <c r="M256" s="11">
        <f>+G256-H256</f>
        <v>-37</v>
      </c>
      <c r="N256" s="12">
        <f t="shared" si="5"/>
        <v>-147737.66999999998</v>
      </c>
    </row>
    <row r="257" spans="1:14" s="4" customFormat="1" ht="12.75">
      <c r="A257" s="9" t="s">
        <v>114</v>
      </c>
      <c r="B257" s="5">
        <v>780</v>
      </c>
      <c r="C257" s="10">
        <v>42877</v>
      </c>
      <c r="D257" s="16" t="s">
        <v>51</v>
      </c>
      <c r="E257" s="10">
        <v>42831</v>
      </c>
      <c r="F257" s="5">
        <v>0</v>
      </c>
      <c r="G257" s="10">
        <v>42878</v>
      </c>
      <c r="H257" s="10">
        <v>42916</v>
      </c>
      <c r="I257" s="5" t="s">
        <v>228</v>
      </c>
      <c r="J257" s="5">
        <v>64</v>
      </c>
      <c r="K257" s="5">
        <v>11.54</v>
      </c>
      <c r="L257" s="5">
        <v>52.46</v>
      </c>
      <c r="M257" s="11">
        <f>+G257-H257</f>
        <v>-38</v>
      </c>
      <c r="N257" s="12">
        <f t="shared" si="5"/>
        <v>-1993.48</v>
      </c>
    </row>
    <row r="258" spans="1:14" s="4" customFormat="1" ht="12.75">
      <c r="A258" s="9" t="s">
        <v>114</v>
      </c>
      <c r="B258" s="5">
        <v>782</v>
      </c>
      <c r="C258" s="10">
        <v>42877</v>
      </c>
      <c r="D258" s="16" t="s">
        <v>52</v>
      </c>
      <c r="E258" s="10">
        <v>42831</v>
      </c>
      <c r="F258" s="5">
        <v>0</v>
      </c>
      <c r="G258" s="10">
        <v>42878</v>
      </c>
      <c r="H258" s="10">
        <v>42916</v>
      </c>
      <c r="I258" s="5" t="s">
        <v>228</v>
      </c>
      <c r="J258" s="5">
        <v>107.63</v>
      </c>
      <c r="K258" s="5">
        <v>19.41</v>
      </c>
      <c r="L258" s="5">
        <v>88.22</v>
      </c>
      <c r="M258" s="11">
        <f>+G258-H258</f>
        <v>-38</v>
      </c>
      <c r="N258" s="12">
        <f t="shared" si="5"/>
        <v>-3352.36</v>
      </c>
    </row>
    <row r="259" spans="1:14" s="4" customFormat="1" ht="12.75">
      <c r="A259" s="9" t="s">
        <v>114</v>
      </c>
      <c r="B259" s="5">
        <v>783</v>
      </c>
      <c r="C259" s="10">
        <v>42877</v>
      </c>
      <c r="D259" s="16" t="s">
        <v>53</v>
      </c>
      <c r="E259" s="10">
        <v>42831</v>
      </c>
      <c r="F259" s="5">
        <v>0</v>
      </c>
      <c r="G259" s="10">
        <v>42878</v>
      </c>
      <c r="H259" s="10">
        <v>42916</v>
      </c>
      <c r="I259" s="5" t="s">
        <v>228</v>
      </c>
      <c r="J259" s="5">
        <v>65.27</v>
      </c>
      <c r="K259" s="5">
        <v>11.17</v>
      </c>
      <c r="L259" s="5">
        <v>54.1</v>
      </c>
      <c r="M259" s="11">
        <f>+G259-H259</f>
        <v>-38</v>
      </c>
      <c r="N259" s="12">
        <f>+L259*M259</f>
        <v>-2055.8</v>
      </c>
    </row>
    <row r="260" spans="1:14" s="4" customFormat="1" ht="12.75">
      <c r="A260" s="9" t="s">
        <v>114</v>
      </c>
      <c r="B260" s="5">
        <v>777</v>
      </c>
      <c r="C260" s="10">
        <v>42877</v>
      </c>
      <c r="D260" s="16" t="s">
        <v>54</v>
      </c>
      <c r="E260" s="10">
        <v>42831</v>
      </c>
      <c r="F260" s="5">
        <v>0</v>
      </c>
      <c r="G260" s="10">
        <v>42878</v>
      </c>
      <c r="H260" s="10">
        <v>42916</v>
      </c>
      <c r="I260" s="5" t="s">
        <v>228</v>
      </c>
      <c r="J260" s="5">
        <v>296.26</v>
      </c>
      <c r="K260" s="5">
        <v>53.42</v>
      </c>
      <c r="L260" s="5">
        <v>242.84</v>
      </c>
      <c r="M260" s="11">
        <f>+G260-H260</f>
        <v>-38</v>
      </c>
      <c r="N260" s="12">
        <f>+L260*M260</f>
        <v>-9227.92</v>
      </c>
    </row>
    <row r="261" spans="1:14" s="4" customFormat="1" ht="12.75">
      <c r="A261" s="9" t="s">
        <v>114</v>
      </c>
      <c r="B261" s="5">
        <v>783</v>
      </c>
      <c r="C261" s="10">
        <v>42877</v>
      </c>
      <c r="D261" s="16" t="s">
        <v>55</v>
      </c>
      <c r="E261" s="10">
        <v>42831</v>
      </c>
      <c r="F261" s="5">
        <v>0</v>
      </c>
      <c r="G261" s="10">
        <v>42878</v>
      </c>
      <c r="H261" s="10">
        <v>42916</v>
      </c>
      <c r="I261" s="5" t="s">
        <v>228</v>
      </c>
      <c r="J261" s="5">
        <v>89.37</v>
      </c>
      <c r="K261" s="5">
        <v>16.12</v>
      </c>
      <c r="L261" s="5">
        <v>73.25</v>
      </c>
      <c r="M261" s="11">
        <f>+G261-H261</f>
        <v>-38</v>
      </c>
      <c r="N261" s="12">
        <f>+L261*M261</f>
        <v>-2783.5</v>
      </c>
    </row>
    <row r="262" spans="1:14" s="4" customFormat="1" ht="12.75">
      <c r="A262" s="9" t="s">
        <v>114</v>
      </c>
      <c r="B262" s="5">
        <v>783</v>
      </c>
      <c r="C262" s="10">
        <v>42877</v>
      </c>
      <c r="D262" s="16" t="s">
        <v>56</v>
      </c>
      <c r="E262" s="10">
        <v>42831</v>
      </c>
      <c r="F262" s="5">
        <v>0</v>
      </c>
      <c r="G262" s="10">
        <v>42878</v>
      </c>
      <c r="H262" s="10">
        <v>42916</v>
      </c>
      <c r="I262" s="5" t="s">
        <v>228</v>
      </c>
      <c r="J262" s="5">
        <v>60.76</v>
      </c>
      <c r="K262" s="5">
        <v>10.96</v>
      </c>
      <c r="L262" s="5">
        <v>49.8</v>
      </c>
      <c r="M262" s="11">
        <f>+G262-H262</f>
        <v>-38</v>
      </c>
      <c r="N262" s="12">
        <f>+L262*M262</f>
        <v>-1892.3999999999999</v>
      </c>
    </row>
    <row r="263" spans="1:14" s="4" customFormat="1" ht="12.75">
      <c r="A263" s="9" t="s">
        <v>114</v>
      </c>
      <c r="B263" s="5">
        <v>783</v>
      </c>
      <c r="C263" s="10">
        <v>42877</v>
      </c>
      <c r="D263" s="16" t="s">
        <v>57</v>
      </c>
      <c r="E263" s="10">
        <v>42831</v>
      </c>
      <c r="F263" s="5">
        <v>0</v>
      </c>
      <c r="G263" s="10">
        <v>42878</v>
      </c>
      <c r="H263" s="10">
        <v>42916</v>
      </c>
      <c r="I263" s="5" t="s">
        <v>228</v>
      </c>
      <c r="J263" s="5">
        <v>61.51</v>
      </c>
      <c r="K263" s="5">
        <v>11.09</v>
      </c>
      <c r="L263" s="5">
        <v>50.42</v>
      </c>
      <c r="M263" s="11">
        <f>+G263-H263</f>
        <v>-38</v>
      </c>
      <c r="N263" s="12">
        <f>+L263*M263</f>
        <v>-1915.96</v>
      </c>
    </row>
    <row r="264" spans="1:14" s="4" customFormat="1" ht="12.75">
      <c r="A264" s="9" t="s">
        <v>114</v>
      </c>
      <c r="B264" s="5">
        <v>778</v>
      </c>
      <c r="C264" s="10">
        <v>42877</v>
      </c>
      <c r="D264" s="16" t="s">
        <v>58</v>
      </c>
      <c r="E264" s="10">
        <v>42831</v>
      </c>
      <c r="F264" s="5">
        <v>0</v>
      </c>
      <c r="G264" s="10">
        <v>42878</v>
      </c>
      <c r="H264" s="10">
        <v>42916</v>
      </c>
      <c r="I264" s="5" t="s">
        <v>228</v>
      </c>
      <c r="J264" s="5">
        <v>93.17</v>
      </c>
      <c r="K264" s="5">
        <v>16.8</v>
      </c>
      <c r="L264" s="5">
        <v>76.37</v>
      </c>
      <c r="M264" s="11">
        <f>+G264-H264</f>
        <v>-38</v>
      </c>
      <c r="N264" s="12">
        <f>+L264*M264</f>
        <v>-2902.0600000000004</v>
      </c>
    </row>
    <row r="265" spans="1:14" s="4" customFormat="1" ht="12.75">
      <c r="A265" s="9" t="s">
        <v>114</v>
      </c>
      <c r="B265" s="5">
        <v>783</v>
      </c>
      <c r="C265" s="10">
        <v>42877</v>
      </c>
      <c r="D265" s="16" t="s">
        <v>59</v>
      </c>
      <c r="E265" s="10">
        <v>42831</v>
      </c>
      <c r="F265" s="5">
        <v>0</v>
      </c>
      <c r="G265" s="10">
        <v>42878</v>
      </c>
      <c r="H265" s="10">
        <v>42916</v>
      </c>
      <c r="I265" s="5" t="s">
        <v>228</v>
      </c>
      <c r="J265" s="5">
        <v>128.47</v>
      </c>
      <c r="K265" s="5">
        <v>23.17</v>
      </c>
      <c r="L265" s="5">
        <v>105.3</v>
      </c>
      <c r="M265" s="11">
        <f>+G265-H265</f>
        <v>-38</v>
      </c>
      <c r="N265" s="12">
        <f>+L265*M265</f>
        <v>-4001.4</v>
      </c>
    </row>
    <row r="266" spans="1:14" s="4" customFormat="1" ht="12.75">
      <c r="A266" s="9" t="s">
        <v>114</v>
      </c>
      <c r="B266" s="5">
        <v>781</v>
      </c>
      <c r="C266" s="10">
        <v>42877</v>
      </c>
      <c r="D266" s="16" t="s">
        <v>60</v>
      </c>
      <c r="E266" s="10">
        <v>42831</v>
      </c>
      <c r="F266" s="5">
        <v>0</v>
      </c>
      <c r="G266" s="10">
        <v>42878</v>
      </c>
      <c r="H266" s="10">
        <v>42916</v>
      </c>
      <c r="I266" s="5" t="s">
        <v>228</v>
      </c>
      <c r="J266" s="5">
        <v>149.83</v>
      </c>
      <c r="K266" s="5">
        <v>27.02</v>
      </c>
      <c r="L266" s="5">
        <v>122.81</v>
      </c>
      <c r="M266" s="11">
        <f>+G266-H266</f>
        <v>-38</v>
      </c>
      <c r="N266" s="12">
        <f>+L266*M266</f>
        <v>-4666.78</v>
      </c>
    </row>
    <row r="267" spans="1:14" s="4" customFormat="1" ht="12.75">
      <c r="A267" s="9" t="s">
        <v>114</v>
      </c>
      <c r="B267" s="5">
        <v>783</v>
      </c>
      <c r="C267" s="10">
        <v>42877</v>
      </c>
      <c r="D267" s="16" t="s">
        <v>61</v>
      </c>
      <c r="E267" s="10">
        <v>42831</v>
      </c>
      <c r="F267" s="5">
        <v>0</v>
      </c>
      <c r="G267" s="10">
        <v>42878</v>
      </c>
      <c r="H267" s="10">
        <v>42916</v>
      </c>
      <c r="I267" s="5" t="s">
        <v>228</v>
      </c>
      <c r="J267" s="5">
        <v>116.68</v>
      </c>
      <c r="K267" s="5">
        <v>19.8</v>
      </c>
      <c r="L267" s="5">
        <v>96.88</v>
      </c>
      <c r="M267" s="11">
        <f>+G267-H267</f>
        <v>-38</v>
      </c>
      <c r="N267" s="12">
        <f>+L267*M267</f>
        <v>-3681.4399999999996</v>
      </c>
    </row>
    <row r="268" spans="1:14" s="4" customFormat="1" ht="12.75">
      <c r="A268" s="9" t="s">
        <v>114</v>
      </c>
      <c r="B268" s="5">
        <v>783</v>
      </c>
      <c r="C268" s="10">
        <v>42877</v>
      </c>
      <c r="D268" s="16" t="s">
        <v>62</v>
      </c>
      <c r="E268" s="10">
        <v>42831</v>
      </c>
      <c r="F268" s="5">
        <v>0</v>
      </c>
      <c r="G268" s="10">
        <v>42878</v>
      </c>
      <c r="H268" s="10">
        <v>42916</v>
      </c>
      <c r="I268" s="5" t="s">
        <v>228</v>
      </c>
      <c r="J268" s="5">
        <v>246.68</v>
      </c>
      <c r="K268" s="5">
        <v>44.48</v>
      </c>
      <c r="L268" s="5">
        <v>202.2</v>
      </c>
      <c r="M268" s="11">
        <f>+G268-H268</f>
        <v>-38</v>
      </c>
      <c r="N268" s="12">
        <f>+L268*M268</f>
        <v>-7683.599999999999</v>
      </c>
    </row>
    <row r="269" spans="1:14" s="4" customFormat="1" ht="12.75">
      <c r="A269" s="9" t="s">
        <v>114</v>
      </c>
      <c r="B269" s="5">
        <v>777</v>
      </c>
      <c r="C269" s="10">
        <v>42877</v>
      </c>
      <c r="D269" s="16" t="s">
        <v>63</v>
      </c>
      <c r="E269" s="10">
        <v>42831</v>
      </c>
      <c r="F269" s="5">
        <v>0</v>
      </c>
      <c r="G269" s="10">
        <v>42878</v>
      </c>
      <c r="H269" s="10">
        <v>42916</v>
      </c>
      <c r="I269" s="5" t="s">
        <v>228</v>
      </c>
      <c r="J269" s="5">
        <v>124.37</v>
      </c>
      <c r="K269" s="5">
        <v>22.43</v>
      </c>
      <c r="L269" s="5">
        <v>101.94</v>
      </c>
      <c r="M269" s="11">
        <f>+G269-H269</f>
        <v>-38</v>
      </c>
      <c r="N269" s="12">
        <f>+L269*M269</f>
        <v>-3873.72</v>
      </c>
    </row>
    <row r="270" spans="1:14" s="4" customFormat="1" ht="12.75">
      <c r="A270" s="9" t="s">
        <v>94</v>
      </c>
      <c r="B270" s="5">
        <v>775</v>
      </c>
      <c r="C270" s="10">
        <v>42877</v>
      </c>
      <c r="D270" s="5" t="str">
        <f>"0002117828"</f>
        <v>0002117828</v>
      </c>
      <c r="E270" s="10">
        <v>42855</v>
      </c>
      <c r="F270" s="5">
        <v>0</v>
      </c>
      <c r="G270" s="10">
        <v>42878</v>
      </c>
      <c r="H270" s="10">
        <v>42916</v>
      </c>
      <c r="I270" s="5" t="s">
        <v>228</v>
      </c>
      <c r="J270" s="5">
        <v>139.08</v>
      </c>
      <c r="K270" s="5">
        <v>25.08</v>
      </c>
      <c r="L270" s="5">
        <v>114</v>
      </c>
      <c r="M270" s="11">
        <f>+G270-H270</f>
        <v>-38</v>
      </c>
      <c r="N270" s="12">
        <f>+L270*M270</f>
        <v>-4332</v>
      </c>
    </row>
    <row r="271" spans="1:14" s="4" customFormat="1" ht="25.5">
      <c r="A271" s="9" t="s">
        <v>133</v>
      </c>
      <c r="B271" s="5">
        <v>791</v>
      </c>
      <c r="C271" s="10">
        <v>42877</v>
      </c>
      <c r="D271" s="5" t="s">
        <v>64</v>
      </c>
      <c r="E271" s="10">
        <v>42854</v>
      </c>
      <c r="F271" s="5">
        <v>0</v>
      </c>
      <c r="G271" s="10">
        <v>42878</v>
      </c>
      <c r="H271" s="10">
        <v>42916</v>
      </c>
      <c r="I271" s="5" t="s">
        <v>228</v>
      </c>
      <c r="J271" s="13">
        <v>10798.13</v>
      </c>
      <c r="K271" s="5">
        <v>415.31</v>
      </c>
      <c r="L271" s="13">
        <v>10382.82</v>
      </c>
      <c r="M271" s="11">
        <f>+G271-H271</f>
        <v>-38</v>
      </c>
      <c r="N271" s="12">
        <f>+L271*M271</f>
        <v>-394547.16</v>
      </c>
    </row>
    <row r="272" spans="1:14" s="4" customFormat="1" ht="38.25">
      <c r="A272" s="9" t="s">
        <v>35</v>
      </c>
      <c r="B272" s="5">
        <v>927</v>
      </c>
      <c r="C272" s="10">
        <v>42900</v>
      </c>
      <c r="D272" s="5" t="s">
        <v>65</v>
      </c>
      <c r="E272" s="10">
        <v>42878</v>
      </c>
      <c r="F272" s="5">
        <v>0</v>
      </c>
      <c r="G272" s="10">
        <v>42900</v>
      </c>
      <c r="H272" s="10">
        <v>42939</v>
      </c>
      <c r="I272" s="5" t="s">
        <v>228</v>
      </c>
      <c r="J272" s="13">
        <v>5556.17</v>
      </c>
      <c r="K272" s="5">
        <v>264.58</v>
      </c>
      <c r="L272" s="13">
        <v>5291.59</v>
      </c>
      <c r="M272" s="11">
        <f>+G272-H272</f>
        <v>-39</v>
      </c>
      <c r="N272" s="12">
        <f>+L272*M272</f>
        <v>-206372.01</v>
      </c>
    </row>
    <row r="273" spans="1:14" s="4" customFormat="1" ht="12.75">
      <c r="A273" s="9" t="s">
        <v>66</v>
      </c>
      <c r="B273" s="5">
        <v>559</v>
      </c>
      <c r="C273" s="10">
        <v>42864</v>
      </c>
      <c r="D273" s="5" t="s">
        <v>67</v>
      </c>
      <c r="E273" s="10">
        <v>42836</v>
      </c>
      <c r="F273" s="5">
        <v>0</v>
      </c>
      <c r="G273" s="10">
        <v>42864</v>
      </c>
      <c r="H273" s="10">
        <v>42904</v>
      </c>
      <c r="I273" s="5" t="s">
        <v>228</v>
      </c>
      <c r="J273" s="13">
        <v>8766.54</v>
      </c>
      <c r="K273" s="5">
        <v>796.96</v>
      </c>
      <c r="L273" s="13">
        <v>7969.58</v>
      </c>
      <c r="M273" s="11">
        <f>+G273-H273</f>
        <v>-40</v>
      </c>
      <c r="N273" s="12">
        <f>+L273*M273</f>
        <v>-318783.2</v>
      </c>
    </row>
    <row r="274" spans="1:14" s="4" customFormat="1" ht="25.5">
      <c r="A274" s="9" t="s">
        <v>133</v>
      </c>
      <c r="B274" s="5">
        <v>693</v>
      </c>
      <c r="C274" s="10">
        <v>42867</v>
      </c>
      <c r="D274" s="5" t="s">
        <v>204</v>
      </c>
      <c r="E274" s="10">
        <v>42825</v>
      </c>
      <c r="F274" s="5">
        <v>0</v>
      </c>
      <c r="G274" s="10">
        <v>42868</v>
      </c>
      <c r="H274" s="10">
        <v>42912</v>
      </c>
      <c r="I274" s="5" t="s">
        <v>228</v>
      </c>
      <c r="J274" s="13">
        <v>17579.64</v>
      </c>
      <c r="K274" s="5">
        <v>676.14</v>
      </c>
      <c r="L274" s="13">
        <v>16903.5</v>
      </c>
      <c r="M274" s="11">
        <f>+G274-H274</f>
        <v>-44</v>
      </c>
      <c r="N274" s="12">
        <f>+L274*M274</f>
        <v>-743754</v>
      </c>
    </row>
    <row r="275" spans="1:14" s="4" customFormat="1" ht="25.5">
      <c r="A275" s="9" t="s">
        <v>133</v>
      </c>
      <c r="B275" s="5">
        <v>695</v>
      </c>
      <c r="C275" s="10">
        <v>42867</v>
      </c>
      <c r="D275" s="5" t="s">
        <v>68</v>
      </c>
      <c r="E275" s="10">
        <v>42825</v>
      </c>
      <c r="F275" s="5">
        <v>0</v>
      </c>
      <c r="G275" s="10">
        <v>42868</v>
      </c>
      <c r="H275" s="10">
        <v>42912</v>
      </c>
      <c r="I275" s="5" t="s">
        <v>228</v>
      </c>
      <c r="J275" s="5">
        <v>935.13</v>
      </c>
      <c r="K275" s="5">
        <v>35.97</v>
      </c>
      <c r="L275" s="5">
        <v>899.16</v>
      </c>
      <c r="M275" s="11">
        <f>+G275-H275</f>
        <v>-44</v>
      </c>
      <c r="N275" s="12">
        <f>+L275*M275</f>
        <v>-39563.04</v>
      </c>
    </row>
    <row r="276" spans="1:14" s="4" customFormat="1" ht="12.75">
      <c r="A276" s="9" t="s">
        <v>94</v>
      </c>
      <c r="B276" s="5">
        <v>945</v>
      </c>
      <c r="C276" s="10">
        <v>42900</v>
      </c>
      <c r="D276" s="5" t="str">
        <f>"0002120620"</f>
        <v>0002120620</v>
      </c>
      <c r="E276" s="10">
        <v>42886</v>
      </c>
      <c r="F276" s="5">
        <v>0</v>
      </c>
      <c r="G276" s="10">
        <v>42900</v>
      </c>
      <c r="H276" s="10">
        <v>42947</v>
      </c>
      <c r="I276" s="5" t="s">
        <v>228</v>
      </c>
      <c r="J276" s="5">
        <v>446.52</v>
      </c>
      <c r="K276" s="5">
        <v>80.52</v>
      </c>
      <c r="L276" s="5">
        <v>366</v>
      </c>
      <c r="M276" s="11">
        <f>+G276-H276</f>
        <v>-47</v>
      </c>
      <c r="N276" s="12">
        <f>+L276*M276</f>
        <v>-17202</v>
      </c>
    </row>
    <row r="277" spans="1:14" s="4" customFormat="1" ht="25.5">
      <c r="A277" s="9" t="s">
        <v>209</v>
      </c>
      <c r="B277" s="5">
        <v>928</v>
      </c>
      <c r="C277" s="10">
        <v>42900</v>
      </c>
      <c r="D277" s="5" t="s">
        <v>69</v>
      </c>
      <c r="E277" s="10">
        <v>42886</v>
      </c>
      <c r="F277" s="5">
        <v>0</v>
      </c>
      <c r="G277" s="10">
        <v>42900</v>
      </c>
      <c r="H277" s="10">
        <v>42947</v>
      </c>
      <c r="I277" s="5" t="s">
        <v>228</v>
      </c>
      <c r="J277" s="13">
        <v>4392.2</v>
      </c>
      <c r="K277" s="5">
        <v>399.29</v>
      </c>
      <c r="L277" s="13">
        <v>3992.91</v>
      </c>
      <c r="M277" s="11">
        <f>+G277-H277</f>
        <v>-47</v>
      </c>
      <c r="N277" s="12">
        <f>+L277*M277</f>
        <v>-187666.77</v>
      </c>
    </row>
    <row r="278" spans="1:14" s="4" customFormat="1" ht="12.75">
      <c r="A278" s="9" t="s">
        <v>70</v>
      </c>
      <c r="B278" s="5">
        <v>435</v>
      </c>
      <c r="C278" s="10">
        <v>42843</v>
      </c>
      <c r="D278" s="5" t="str">
        <f>"90"</f>
        <v>90</v>
      </c>
      <c r="E278" s="10">
        <v>42825</v>
      </c>
      <c r="F278" s="5">
        <v>0</v>
      </c>
      <c r="G278" s="10">
        <v>42843</v>
      </c>
      <c r="H278" s="10">
        <v>42890</v>
      </c>
      <c r="I278" s="5" t="s">
        <v>228</v>
      </c>
      <c r="J278" s="5">
        <v>114.38</v>
      </c>
      <c r="K278" s="5">
        <v>20.63</v>
      </c>
      <c r="L278" s="5">
        <v>93.75</v>
      </c>
      <c r="M278" s="11">
        <f>+G278-H278</f>
        <v>-47</v>
      </c>
      <c r="N278" s="12">
        <f>+L278*M278</f>
        <v>-4406.25</v>
      </c>
    </row>
    <row r="279" spans="1:14" s="4" customFormat="1" ht="38.25">
      <c r="A279" s="9" t="s">
        <v>92</v>
      </c>
      <c r="B279" s="5">
        <v>431</v>
      </c>
      <c r="C279" s="10">
        <v>42843</v>
      </c>
      <c r="D279" s="5" t="s">
        <v>185</v>
      </c>
      <c r="E279" s="10">
        <v>42830</v>
      </c>
      <c r="F279" s="5">
        <v>0</v>
      </c>
      <c r="G279" s="10">
        <v>42843</v>
      </c>
      <c r="H279" s="10">
        <v>42891</v>
      </c>
      <c r="I279" s="5" t="s">
        <v>228</v>
      </c>
      <c r="J279" s="5">
        <v>954.72</v>
      </c>
      <c r="K279" s="5">
        <v>36.72</v>
      </c>
      <c r="L279" s="5">
        <v>918</v>
      </c>
      <c r="M279" s="11">
        <f>+G279-H279</f>
        <v>-48</v>
      </c>
      <c r="N279" s="12">
        <f>+L279*M279</f>
        <v>-44064</v>
      </c>
    </row>
    <row r="280" spans="1:14" s="4" customFormat="1" ht="25.5">
      <c r="A280" s="9" t="s">
        <v>71</v>
      </c>
      <c r="B280" s="5">
        <v>700</v>
      </c>
      <c r="C280" s="10">
        <v>42867</v>
      </c>
      <c r="D280" s="5" t="str">
        <f>"1010415495"</f>
        <v>1010415495</v>
      </c>
      <c r="E280" s="10">
        <v>42851</v>
      </c>
      <c r="F280" s="5">
        <v>0</v>
      </c>
      <c r="G280" s="10">
        <v>42868</v>
      </c>
      <c r="H280" s="10">
        <v>42916</v>
      </c>
      <c r="I280" s="5" t="s">
        <v>228</v>
      </c>
      <c r="J280" s="5">
        <v>532.09</v>
      </c>
      <c r="K280" s="5">
        <v>95.95</v>
      </c>
      <c r="L280" s="5">
        <v>436.14</v>
      </c>
      <c r="M280" s="11">
        <f>+G280-H280</f>
        <v>-48</v>
      </c>
      <c r="N280" s="12">
        <f>+L280*M280</f>
        <v>-20934.72</v>
      </c>
    </row>
    <row r="281" spans="1:14" s="4" customFormat="1" ht="12.75">
      <c r="A281" s="9" t="s">
        <v>41</v>
      </c>
      <c r="B281" s="5">
        <v>699</v>
      </c>
      <c r="C281" s="10">
        <v>42867</v>
      </c>
      <c r="D281" s="5" t="s">
        <v>72</v>
      </c>
      <c r="E281" s="10">
        <v>42853</v>
      </c>
      <c r="F281" s="5">
        <v>0</v>
      </c>
      <c r="G281" s="10">
        <v>42868</v>
      </c>
      <c r="H281" s="10">
        <v>42916</v>
      </c>
      <c r="I281" s="5" t="s">
        <v>228</v>
      </c>
      <c r="J281" s="5">
        <v>140</v>
      </c>
      <c r="K281" s="5">
        <v>25.25</v>
      </c>
      <c r="L281" s="5">
        <v>114.75</v>
      </c>
      <c r="M281" s="11">
        <f>+G281-H281</f>
        <v>-48</v>
      </c>
      <c r="N281" s="12">
        <f>+L281*M281</f>
        <v>-5508</v>
      </c>
    </row>
    <row r="282" spans="1:14" s="4" customFormat="1" ht="12.75">
      <c r="A282" s="9" t="s">
        <v>173</v>
      </c>
      <c r="B282" s="5">
        <v>785</v>
      </c>
      <c r="C282" s="10">
        <v>42877</v>
      </c>
      <c r="D282" s="5" t="str">
        <f>"0000008750"</f>
        <v>0000008750</v>
      </c>
      <c r="E282" s="10">
        <v>42867</v>
      </c>
      <c r="F282" s="5">
        <v>0</v>
      </c>
      <c r="G282" s="10">
        <v>42878</v>
      </c>
      <c r="H282" s="10">
        <v>42927</v>
      </c>
      <c r="I282" s="5" t="s">
        <v>228</v>
      </c>
      <c r="J282" s="5">
        <v>66.44</v>
      </c>
      <c r="K282" s="5">
        <v>11.98</v>
      </c>
      <c r="L282" s="5">
        <v>54.46</v>
      </c>
      <c r="M282" s="11">
        <f>+G282-H282</f>
        <v>-49</v>
      </c>
      <c r="N282" s="12">
        <f>+L282*M282</f>
        <v>-2668.54</v>
      </c>
    </row>
    <row r="283" spans="1:14" s="4" customFormat="1" ht="12.75">
      <c r="A283" s="9" t="s">
        <v>173</v>
      </c>
      <c r="B283" s="5">
        <v>786</v>
      </c>
      <c r="C283" s="10">
        <v>42877</v>
      </c>
      <c r="D283" s="5" t="str">
        <f>"0000008749"</f>
        <v>0000008749</v>
      </c>
      <c r="E283" s="10">
        <v>42867</v>
      </c>
      <c r="F283" s="5">
        <v>0</v>
      </c>
      <c r="G283" s="10">
        <v>42878</v>
      </c>
      <c r="H283" s="10">
        <v>42927</v>
      </c>
      <c r="I283" s="5" t="s">
        <v>228</v>
      </c>
      <c r="J283" s="5">
        <v>60.87</v>
      </c>
      <c r="K283" s="5">
        <v>10.98</v>
      </c>
      <c r="L283" s="5">
        <v>49.89</v>
      </c>
      <c r="M283" s="11">
        <f>+G283-H283</f>
        <v>-49</v>
      </c>
      <c r="N283" s="12">
        <f>+L283*M283</f>
        <v>-2444.61</v>
      </c>
    </row>
    <row r="284" spans="1:14" s="4" customFormat="1" ht="25.5">
      <c r="A284" s="9" t="s">
        <v>209</v>
      </c>
      <c r="B284" s="5">
        <v>697</v>
      </c>
      <c r="C284" s="10">
        <v>42867</v>
      </c>
      <c r="D284" s="5" t="s">
        <v>73</v>
      </c>
      <c r="E284" s="10">
        <v>42854</v>
      </c>
      <c r="F284" s="5">
        <v>0</v>
      </c>
      <c r="G284" s="10">
        <v>42868</v>
      </c>
      <c r="H284" s="10">
        <v>42918</v>
      </c>
      <c r="I284" s="5" t="s">
        <v>228</v>
      </c>
      <c r="J284" s="13">
        <v>4392.2</v>
      </c>
      <c r="K284" s="5">
        <v>399.29</v>
      </c>
      <c r="L284" s="13">
        <v>3992.91</v>
      </c>
      <c r="M284" s="11">
        <f>+G284-H284</f>
        <v>-50</v>
      </c>
      <c r="N284" s="12">
        <f>+L284*M284</f>
        <v>-199645.5</v>
      </c>
    </row>
    <row r="285" spans="1:14" s="4" customFormat="1" ht="38.25">
      <c r="A285" s="9" t="s">
        <v>92</v>
      </c>
      <c r="B285" s="5">
        <v>702</v>
      </c>
      <c r="C285" s="10">
        <v>42868</v>
      </c>
      <c r="D285" s="5" t="s">
        <v>74</v>
      </c>
      <c r="E285" s="10">
        <v>42858</v>
      </c>
      <c r="F285" s="5">
        <v>0</v>
      </c>
      <c r="G285" s="10">
        <v>42868</v>
      </c>
      <c r="H285" s="10">
        <v>42919</v>
      </c>
      <c r="I285" s="5" t="s">
        <v>228</v>
      </c>
      <c r="J285" s="5">
        <v>842.4</v>
      </c>
      <c r="K285" s="5">
        <v>32.4</v>
      </c>
      <c r="L285" s="5">
        <v>810</v>
      </c>
      <c r="M285" s="11">
        <f>+G285-H285</f>
        <v>-51</v>
      </c>
      <c r="N285" s="12">
        <f>+L285*M285</f>
        <v>-41310</v>
      </c>
    </row>
    <row r="286" spans="1:14" s="4" customFormat="1" ht="12.75">
      <c r="A286" s="9" t="s">
        <v>41</v>
      </c>
      <c r="B286" s="5">
        <v>910</v>
      </c>
      <c r="C286" s="10">
        <v>42896</v>
      </c>
      <c r="D286" s="5" t="s">
        <v>75</v>
      </c>
      <c r="E286" s="10">
        <v>42886</v>
      </c>
      <c r="F286" s="5">
        <v>0</v>
      </c>
      <c r="G286" s="10">
        <v>42896</v>
      </c>
      <c r="H286" s="10">
        <v>42947</v>
      </c>
      <c r="I286" s="5" t="s">
        <v>228</v>
      </c>
      <c r="J286" s="5">
        <v>66.8</v>
      </c>
      <c r="K286" s="5">
        <v>12.05</v>
      </c>
      <c r="L286" s="5">
        <v>54.75</v>
      </c>
      <c r="M286" s="11">
        <f>+G286-H286</f>
        <v>-51</v>
      </c>
      <c r="N286" s="12">
        <f>+L286*M286</f>
        <v>-2792.25</v>
      </c>
    </row>
    <row r="287" spans="1:14" s="4" customFormat="1" ht="25.5">
      <c r="A287" s="9" t="s">
        <v>133</v>
      </c>
      <c r="B287" s="5">
        <v>410</v>
      </c>
      <c r="C287" s="10">
        <v>42830</v>
      </c>
      <c r="D287" s="5" t="s">
        <v>76</v>
      </c>
      <c r="E287" s="10">
        <v>42794</v>
      </c>
      <c r="F287" s="5">
        <v>0</v>
      </c>
      <c r="G287" s="10">
        <v>42830</v>
      </c>
      <c r="H287" s="10">
        <v>42883</v>
      </c>
      <c r="I287" s="5" t="s">
        <v>228</v>
      </c>
      <c r="J287" s="5">
        <v>758.41</v>
      </c>
      <c r="K287" s="5">
        <v>29.17</v>
      </c>
      <c r="L287" s="5">
        <v>729.24</v>
      </c>
      <c r="M287" s="11">
        <f>+G287-H287</f>
        <v>-53</v>
      </c>
      <c r="N287" s="12">
        <f>+L287*M287</f>
        <v>-38649.72</v>
      </c>
    </row>
    <row r="288" spans="1:14" s="4" customFormat="1" ht="25.5">
      <c r="A288" s="9" t="s">
        <v>133</v>
      </c>
      <c r="B288" s="5">
        <v>409</v>
      </c>
      <c r="C288" s="10">
        <v>42830</v>
      </c>
      <c r="D288" s="5" t="s">
        <v>77</v>
      </c>
      <c r="E288" s="10">
        <v>42794</v>
      </c>
      <c r="F288" s="5">
        <v>0</v>
      </c>
      <c r="G288" s="10">
        <v>42830</v>
      </c>
      <c r="H288" s="10">
        <v>42883</v>
      </c>
      <c r="I288" s="5" t="s">
        <v>228</v>
      </c>
      <c r="J288" s="13">
        <v>13154.36</v>
      </c>
      <c r="K288" s="5">
        <v>505.94</v>
      </c>
      <c r="L288" s="13">
        <v>12648.42</v>
      </c>
      <c r="M288" s="11">
        <f>+G288-H288</f>
        <v>-53</v>
      </c>
      <c r="N288" s="12">
        <f>+L288*M288</f>
        <v>-670366.26</v>
      </c>
    </row>
    <row r="289" spans="1:14" s="4" customFormat="1" ht="25.5">
      <c r="A289" s="9" t="s">
        <v>229</v>
      </c>
      <c r="B289" s="5">
        <v>563</v>
      </c>
      <c r="C289" s="10">
        <v>42864</v>
      </c>
      <c r="D289" s="5" t="s">
        <v>113</v>
      </c>
      <c r="E289" s="10">
        <v>42857</v>
      </c>
      <c r="F289" s="5">
        <v>0</v>
      </c>
      <c r="G289" s="10">
        <v>42864</v>
      </c>
      <c r="H289" s="10">
        <v>42919</v>
      </c>
      <c r="I289" s="5" t="s">
        <v>228</v>
      </c>
      <c r="J289" s="5">
        <v>790.56</v>
      </c>
      <c r="K289" s="5">
        <v>142.56</v>
      </c>
      <c r="L289" s="5">
        <v>648</v>
      </c>
      <c r="M289" s="11">
        <f>+G289-H289</f>
        <v>-55</v>
      </c>
      <c r="N289" s="12">
        <f>+L289*M289</f>
        <v>-35640</v>
      </c>
    </row>
    <row r="290" spans="1:14" s="4" customFormat="1" ht="12.75">
      <c r="A290" s="9" t="s">
        <v>78</v>
      </c>
      <c r="B290" s="5">
        <v>404</v>
      </c>
      <c r="C290" s="10">
        <v>42830</v>
      </c>
      <c r="D290" s="5" t="s">
        <v>79</v>
      </c>
      <c r="E290" s="10">
        <v>42795</v>
      </c>
      <c r="F290" s="5">
        <v>0</v>
      </c>
      <c r="G290" s="10">
        <v>42830</v>
      </c>
      <c r="H290" s="10">
        <v>42886</v>
      </c>
      <c r="I290" s="5" t="s">
        <v>228</v>
      </c>
      <c r="J290" s="5">
        <v>224.48</v>
      </c>
      <c r="K290" s="5">
        <v>40.48</v>
      </c>
      <c r="L290" s="5">
        <v>184</v>
      </c>
      <c r="M290" s="11">
        <f>+G290-H290</f>
        <v>-56</v>
      </c>
      <c r="N290" s="12">
        <f>+L290*M290</f>
        <v>-10304</v>
      </c>
    </row>
    <row r="291" spans="1:14" s="4" customFormat="1" ht="13.5" thickBot="1">
      <c r="A291" s="17" t="s">
        <v>80</v>
      </c>
      <c r="B291" s="18">
        <v>0</v>
      </c>
      <c r="C291" s="18"/>
      <c r="D291" s="18"/>
      <c r="E291" s="18"/>
      <c r="F291" s="18">
        <v>0</v>
      </c>
      <c r="G291" s="18"/>
      <c r="H291" s="18"/>
      <c r="I291" s="18"/>
      <c r="J291" s="19">
        <f>SUM(J2:J290)</f>
        <v>476473.92000000016</v>
      </c>
      <c r="K291" s="19">
        <f>SUM(K2:K290)</f>
        <v>55447.56</v>
      </c>
      <c r="L291" s="19">
        <f>SUM(L2:L290)</f>
        <v>421026.3599999999</v>
      </c>
      <c r="M291" s="20">
        <f>+N291/L291</f>
        <v>-9.01748360838975</v>
      </c>
      <c r="N291" s="21">
        <f>SUM(N2:N290)</f>
        <v>-3796598.3000000007</v>
      </c>
    </row>
    <row r="292" ht="12.75">
      <c r="M292" s="2"/>
    </row>
    <row r="293" spans="13:14" ht="12.75">
      <c r="M293" s="2"/>
      <c r="N293" s="3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2017-07-14T07:45:20Z</dcterms:created>
  <dcterms:modified xsi:type="dcterms:W3CDTF">2017-07-27T13:39:32Z</dcterms:modified>
  <cp:category/>
  <cp:version/>
  <cp:contentType/>
  <cp:contentStatus/>
</cp:coreProperties>
</file>