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300" activeTab="0"/>
  </bookViews>
  <sheets>
    <sheet name="L_RIT" sheetId="1" r:id="rId1"/>
  </sheets>
  <definedNames>
    <definedName name="_xlnm.Print_Titles" localSheetId="0">'L_RIT'!$1:$1</definedName>
  </definedNames>
  <calcPr fullCalcOnLoad="1"/>
</workbook>
</file>

<file path=xl/sharedStrings.xml><?xml version="1.0" encoding="utf-8"?>
<sst xmlns="http://schemas.openxmlformats.org/spreadsheetml/2006/main" count="675" uniqueCount="218">
  <si>
    <t>67/E</t>
  </si>
  <si>
    <t>M.T. S.P.A.</t>
  </si>
  <si>
    <t>IMQ SPA</t>
  </si>
  <si>
    <t>0000028/PA</t>
  </si>
  <si>
    <t>92/E</t>
  </si>
  <si>
    <t>TERMOIDRAULICA di ZONZINI PIETRO</t>
  </si>
  <si>
    <t>FATTPA 9_16</t>
  </si>
  <si>
    <t>8E00806941</t>
  </si>
  <si>
    <t>8E00809164</t>
  </si>
  <si>
    <t>8E00808558</t>
  </si>
  <si>
    <t>8E00809463</t>
  </si>
  <si>
    <t>8E00810648</t>
  </si>
  <si>
    <t>8E00812314</t>
  </si>
  <si>
    <t>8E00811744</t>
  </si>
  <si>
    <t>AGRIVERDE</t>
  </si>
  <si>
    <t>7/PA</t>
  </si>
  <si>
    <t>C.A.M.V.O. S.p.A.</t>
  </si>
  <si>
    <t>78/E</t>
  </si>
  <si>
    <t>0000030/PA</t>
  </si>
  <si>
    <t>0000029/PA</t>
  </si>
  <si>
    <t>AZIENDA U.L.S.S. 21</t>
  </si>
  <si>
    <t>201/315</t>
  </si>
  <si>
    <t>201/292</t>
  </si>
  <si>
    <t>91/E</t>
  </si>
  <si>
    <t>CONSORZIO ENERGIA VENETO</t>
  </si>
  <si>
    <t>V1-1088-2016</t>
  </si>
  <si>
    <t>V1-1089-2016</t>
  </si>
  <si>
    <t>V1-1090-2016</t>
  </si>
  <si>
    <t>I.C.E.A.M. SRL</t>
  </si>
  <si>
    <t>2016    27/E</t>
  </si>
  <si>
    <t>GUALTIERO MAZZI</t>
  </si>
  <si>
    <t>14/E</t>
  </si>
  <si>
    <t>BIESSE s.n.c.</t>
  </si>
  <si>
    <t>3FE</t>
  </si>
  <si>
    <t>4FE</t>
  </si>
  <si>
    <t>GRAFICHE E.GASPARI SRL</t>
  </si>
  <si>
    <t>V0/117403</t>
  </si>
  <si>
    <t>V0/117399</t>
  </si>
  <si>
    <t>V0/117402</t>
  </si>
  <si>
    <t>V0/117400</t>
  </si>
  <si>
    <t>V0/117401</t>
  </si>
  <si>
    <t>V0/117395</t>
  </si>
  <si>
    <t>V0/117398</t>
  </si>
  <si>
    <t>V0/117394</t>
  </si>
  <si>
    <t>V0/117396</t>
  </si>
  <si>
    <t>V0/117397</t>
  </si>
  <si>
    <t>ARENA ASCENSORI S.R.L.</t>
  </si>
  <si>
    <t>000145/16/PA</t>
  </si>
  <si>
    <t>ROSSI ALDO</t>
  </si>
  <si>
    <t>V0/142920</t>
  </si>
  <si>
    <t>V0/142911</t>
  </si>
  <si>
    <t>V0/142915</t>
  </si>
  <si>
    <t>V0/142918</t>
  </si>
  <si>
    <t>V0/142921</t>
  </si>
  <si>
    <t>V0/142914</t>
  </si>
  <si>
    <t>V0/142913</t>
  </si>
  <si>
    <t>V0/142917</t>
  </si>
  <si>
    <t>V0/142916</t>
  </si>
  <si>
    <t>V0/142912</t>
  </si>
  <si>
    <t>V0/142919</t>
  </si>
  <si>
    <t>GESTORE DEI SERVIZI ELETTRICI SPA</t>
  </si>
  <si>
    <t>COMUNICAZIONI D'AUTORE DI COPPARI MARIA FIORENZA</t>
  </si>
  <si>
    <t>05/PA</t>
  </si>
  <si>
    <t>COSTRUZIONI ELIA SRL</t>
  </si>
  <si>
    <t>PA 500</t>
  </si>
  <si>
    <t>5FE</t>
  </si>
  <si>
    <t>CRISTANINI LUCIO</t>
  </si>
  <si>
    <t>FATTPA 2_16</t>
  </si>
  <si>
    <t>FATTPA 13_16</t>
  </si>
  <si>
    <t>LEGGERE SRL</t>
  </si>
  <si>
    <t>SUPERBETON SPA</t>
  </si>
  <si>
    <t>COMPERIO SRL</t>
  </si>
  <si>
    <t>077/AE</t>
  </si>
  <si>
    <t>PUBLIMULTIMEDIA SNC DI VOI FEDERICO &amp; C.</t>
  </si>
  <si>
    <t>V1-1363-2016</t>
  </si>
  <si>
    <t>V1-1361-2016</t>
  </si>
  <si>
    <t>V1-1362-2016</t>
  </si>
  <si>
    <t>GRAFICHE STELLA s.r.l.</t>
  </si>
  <si>
    <t>S-26</t>
  </si>
  <si>
    <t>0000031/PA</t>
  </si>
  <si>
    <t>SOLUZIONE SRL</t>
  </si>
  <si>
    <t>509/F</t>
  </si>
  <si>
    <t>SONEPAR ITALIA SPA</t>
  </si>
  <si>
    <t>STUDIO DI ARCHITETTURA ALBERTO SARTORI</t>
  </si>
  <si>
    <t>ELIA COSTRUZIONI SNC</t>
  </si>
  <si>
    <t>PA 201</t>
  </si>
  <si>
    <t>PA 501</t>
  </si>
  <si>
    <t>B.M. SERVIZI SRL</t>
  </si>
  <si>
    <t>CARTOLIBRERIA LEGNAGHESE DI ZAMBELLI ELENA E DANIELA S.</t>
  </si>
  <si>
    <t>FATTPA 8_16</t>
  </si>
  <si>
    <t>Beneficiario</t>
  </si>
  <si>
    <t>Mandato</t>
  </si>
  <si>
    <t>Data mandato</t>
  </si>
  <si>
    <t>Num. fattura</t>
  </si>
  <si>
    <t>Data fattura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</si>
  <si>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</si>
  <si>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</si>
  <si>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</si>
  <si>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</si>
  <si>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</si>
  <si>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</si>
  <si>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</si>
  <si>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</si>
  <si>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TELECOM ITALIA S.P.A.</t>
  </si>
  <si>
    <t>8E00591624</t>
  </si>
  <si>
    <t>S</t>
  </si>
  <si>
    <t>8E00587614</t>
  </si>
  <si>
    <t>8E00593181</t>
  </si>
  <si>
    <t>8E00591243</t>
  </si>
  <si>
    <t>8E00590500</t>
  </si>
  <si>
    <t>8E00584107</t>
  </si>
  <si>
    <t>8E00586226</t>
  </si>
  <si>
    <t>COOPERATIVA OMEGA</t>
  </si>
  <si>
    <t>0000025/PA</t>
  </si>
  <si>
    <t>P</t>
  </si>
  <si>
    <t>ELMA ASCENSORI S.P.A.</t>
  </si>
  <si>
    <t>0000026/PA</t>
  </si>
  <si>
    <t>FONDAZIONE GIOVANNI MERITANI</t>
  </si>
  <si>
    <t>73/E</t>
  </si>
  <si>
    <t>0000027/PA</t>
  </si>
  <si>
    <t>COMUNITA' GIOVANNI XXIII IL CALABRONE-SOC.COOP.SOCIALE</t>
  </si>
  <si>
    <t>62/E</t>
  </si>
  <si>
    <t>MUNICIPIA S.P.A.</t>
  </si>
  <si>
    <t>82/E</t>
  </si>
  <si>
    <t>FONDAZIONE CASA DI RIPOSO `EUFEMIA CARRIROLO`</t>
  </si>
  <si>
    <t>27P</t>
  </si>
  <si>
    <t>RETE FERROVIARIA ITALIANA S.p.A.</t>
  </si>
  <si>
    <t>HALLEY VENETO S.R.L.</t>
  </si>
  <si>
    <t>1/160865</t>
  </si>
  <si>
    <t>ASSOCIAZIONE FIERA FESTA DEL TORO</t>
  </si>
  <si>
    <t>3/FE</t>
  </si>
  <si>
    <t>REGIONE DEL VENETO GIUNTA REGIONALE</t>
  </si>
  <si>
    <t>1/160721</t>
  </si>
  <si>
    <t>SPERANZA SOC. COOP. SOC. ONLUS</t>
  </si>
  <si>
    <t>691/19</t>
  </si>
  <si>
    <t>IL PONTE SOCIETA' COOPERATIVA SOCIALE O.N.L.U.S.</t>
  </si>
  <si>
    <t>FATTPA 134_16</t>
  </si>
  <si>
    <t>2016    32/E</t>
  </si>
  <si>
    <t>IMPRESA SOCIALE-CONSORZIO FRA COOPERATIVE SOCIALI ONLUS</t>
  </si>
  <si>
    <t>88/PA</t>
  </si>
  <si>
    <t>INTERAZIONE SRL</t>
  </si>
  <si>
    <t>265/03</t>
  </si>
  <si>
    <t>796/19</t>
  </si>
  <si>
    <t>2016PA0010932</t>
  </si>
  <si>
    <t>FATTPA 119_16</t>
  </si>
  <si>
    <t>690/19</t>
  </si>
  <si>
    <t>2016PA0010933</t>
  </si>
  <si>
    <t>CLESP S.R.L.</t>
  </si>
  <si>
    <t>307 / 2016</t>
  </si>
  <si>
    <t>VERDEARANCIO SOCIETA'COOPERATIVA SOCIALE -ONLUS</t>
  </si>
  <si>
    <t>21/PA</t>
  </si>
  <si>
    <t>20/PA</t>
  </si>
  <si>
    <t>VE.A.-VENETA ASCENSORI SRL</t>
  </si>
  <si>
    <t>FC-2016-0004268-0</t>
  </si>
  <si>
    <t>CONSORZIO EUROBUS VERONA SOC. COOP.</t>
  </si>
  <si>
    <t>444/FE</t>
  </si>
  <si>
    <t>795/19</t>
  </si>
  <si>
    <t>727 / 2016</t>
  </si>
  <si>
    <t>SIVE S.R.L.</t>
  </si>
  <si>
    <t>981 / 2016</t>
  </si>
  <si>
    <t>CONSULENZA ENERGETICA</t>
  </si>
  <si>
    <t>11/PA</t>
  </si>
  <si>
    <t>OLIVETTI S.P.A.</t>
  </si>
  <si>
    <t>363/FE</t>
  </si>
  <si>
    <t>MOBILFERRO ARREDAMENTI S.R.L.</t>
  </si>
  <si>
    <t>510/FE</t>
  </si>
  <si>
    <t>23/PA</t>
  </si>
  <si>
    <t>22/PA</t>
  </si>
  <si>
    <t>2016    38/E</t>
  </si>
  <si>
    <t>BEZZETTO LUCA</t>
  </si>
  <si>
    <t>C.G.SNC DI CREAZZI &amp; GRELLA</t>
  </si>
  <si>
    <t>10/P</t>
  </si>
  <si>
    <t>KYOCERA DOCUMENT SOLUTIONS ITALIA S.P.A.</t>
  </si>
  <si>
    <t>A.P. PROMOTION S.n.c. di Merlin Pietro &amp; C.</t>
  </si>
  <si>
    <t>980 / 2016</t>
  </si>
  <si>
    <t>2016    44/E</t>
  </si>
  <si>
    <t>24/PA</t>
  </si>
  <si>
    <t>GLOBAL POWER SERVICE SPA</t>
  </si>
  <si>
    <t>2016-V6-21</t>
  </si>
  <si>
    <t>8E01025931</t>
  </si>
  <si>
    <t>8E01025640</t>
  </si>
  <si>
    <t>8E01027123</t>
  </si>
  <si>
    <t>8E01025409</t>
  </si>
  <si>
    <t>8E01025780</t>
  </si>
  <si>
    <t>8E01032603</t>
  </si>
  <si>
    <t>8E01027751</t>
  </si>
  <si>
    <t>* RISULTATO 4o TRIMESTRE *</t>
  </si>
  <si>
    <t>***************</t>
  </si>
  <si>
    <t>TUCCI ANTONIO</t>
  </si>
  <si>
    <t>2/PA</t>
  </si>
  <si>
    <t>GLOBAL POWER SPA</t>
  </si>
  <si>
    <t>V0/130020</t>
  </si>
  <si>
    <t>V0/130012</t>
  </si>
  <si>
    <t>V0/130016</t>
  </si>
  <si>
    <t>V0/130015</t>
  </si>
  <si>
    <t>V0/130019</t>
  </si>
  <si>
    <t>V0/130017</t>
  </si>
  <si>
    <t>V0/130011</t>
  </si>
  <si>
    <t>V0/130014</t>
  </si>
  <si>
    <t>V0/130013</t>
  </si>
  <si>
    <t>V0/130021</t>
  </si>
  <si>
    <t>V0/130018</t>
  </si>
  <si>
    <t>ARUBA S.P.A.</t>
  </si>
  <si>
    <t>2016PA0012882</t>
  </si>
  <si>
    <t>2016PA0012881</t>
  </si>
  <si>
    <t>F.LLI FORIGO DI FORIGO MAURO &amp; C. S.A.S.</t>
  </si>
  <si>
    <t>2/E</t>
  </si>
  <si>
    <t>MIONI ONORANZE FUNEBRI</t>
  </si>
  <si>
    <t>DOLOMITI ENERGIA SPA</t>
  </si>
  <si>
    <t>DALL'AIO VIAGGI S.N.C. di DALL'AIO SERGIO &amp;.C</t>
  </si>
  <si>
    <t>27/PA</t>
  </si>
  <si>
    <t>FATTPA 12_16</t>
  </si>
  <si>
    <t>SAV CONSULENZA &amp; MARKETING S.R.L.</t>
  </si>
  <si>
    <t>MAGGIOLI S.P.A.</t>
  </si>
  <si>
    <t>ENERGAS ENGINEERING</t>
  </si>
  <si>
    <t>46/E</t>
  </si>
  <si>
    <t>ASSOCIAZIONE PRO LOCO `LE CONTRA'`</t>
  </si>
  <si>
    <t>2FE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</si>
</sst>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3" fontId="0" fillId="0" borderId="0" xfId="15" applyFont="1" applyFill="1" applyAlignment="1">
      <alignment vertic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4" fontId="0" fillId="0" borderId="0" xfId="0" applyNumberFormat="1" applyFont="1" applyFill="1" applyAlignment="1">
      <alignment/>
    </xf>
    <xf numFmtId="43" fontId="2" fillId="0" borderId="0" xfId="15" applyFont="1" applyFill="1" applyAlignment="1">
      <alignment vertical="center" wrapText="1"/>
    </xf>
    <xf numFmtId="43" fontId="2" fillId="0" borderId="0" xfId="15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3" fontId="0" fillId="0" borderId="2" xfId="15" applyFont="1" applyFill="1" applyBorder="1" applyAlignment="1">
      <alignment vertical="center" wrapText="1"/>
    </xf>
    <xf numFmtId="43" fontId="2" fillId="0" borderId="3" xfId="15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 wrapText="1"/>
    </xf>
    <xf numFmtId="43" fontId="0" fillId="0" borderId="5" xfId="15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43" fontId="2" fillId="0" borderId="6" xfId="15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11" fontId="0" fillId="0" borderId="5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4" fontId="0" fillId="0" borderId="8" xfId="0" applyNumberFormat="1" applyFont="1" applyFill="1" applyBorder="1" applyAlignment="1">
      <alignment vertical="center" wrapText="1"/>
    </xf>
    <xf numFmtId="43" fontId="0" fillId="0" borderId="8" xfId="15" applyFont="1" applyFill="1" applyBorder="1" applyAlignment="1">
      <alignment vertical="center" wrapText="1"/>
    </xf>
    <xf numFmtId="43" fontId="2" fillId="0" borderId="8" xfId="15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vertical="center" wrapText="1"/>
    </xf>
    <xf numFmtId="43" fontId="2" fillId="0" borderId="9" xfId="15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workbookViewId="0" topLeftCell="A1">
      <pane ySplit="1" topLeftCell="BM2" activePane="bottomLeft" state="frozen"/>
      <selection pane="topLeft" activeCell="A1" sqref="A1"/>
      <selection pane="bottomLeft" activeCell="F155" sqref="F155"/>
    </sheetView>
  </sheetViews>
  <sheetFormatPr defaultColWidth="9.140625" defaultRowHeight="12.75"/>
  <cols>
    <col min="1" max="1" width="37.140625" style="3" customWidth="1"/>
    <col min="2" max="2" width="7.8515625" style="3" customWidth="1"/>
    <col min="3" max="3" width="10.140625" style="3" bestFit="1" customWidth="1"/>
    <col min="4" max="4" width="14.7109375" style="3" customWidth="1"/>
    <col min="5" max="7" width="10.140625" style="3" bestFit="1" customWidth="1"/>
    <col min="8" max="8" width="5.57421875" style="3" hidden="1" customWidth="1"/>
    <col min="9" max="9" width="13.140625" style="3" hidden="1" customWidth="1"/>
    <col min="10" max="10" width="11.421875" style="3" hidden="1" customWidth="1"/>
    <col min="11" max="11" width="11.421875" style="7" bestFit="1" customWidth="1"/>
    <col min="12" max="12" width="7.28125" style="3" bestFit="1" customWidth="1"/>
    <col min="13" max="13" width="12.140625" style="10" bestFit="1" customWidth="1"/>
    <col min="14" max="16384" width="8.8515625" style="3" customWidth="1"/>
  </cols>
  <sheetData>
    <row r="1" spans="1:13" s="1" customFormat="1" ht="26.25">
      <c r="A1" s="11" t="s">
        <v>90</v>
      </c>
      <c r="B1" s="12" t="s">
        <v>91</v>
      </c>
      <c r="C1" s="12" t="s">
        <v>92</v>
      </c>
      <c r="D1" s="12" t="s">
        <v>93</v>
      </c>
      <c r="E1" s="12" t="s">
        <v>94</v>
      </c>
      <c r="F1" s="12" t="s">
        <v>95</v>
      </c>
      <c r="G1" s="12" t="s">
        <v>96</v>
      </c>
      <c r="H1" s="12" t="s">
        <v>97</v>
      </c>
      <c r="I1" s="12" t="s">
        <v>98</v>
      </c>
      <c r="J1" s="12" t="s">
        <v>99</v>
      </c>
      <c r="K1" s="13" t="s">
        <v>100</v>
      </c>
      <c r="L1" s="12" t="s">
        <v>101</v>
      </c>
      <c r="M1" s="14" t="s">
        <v>102</v>
      </c>
    </row>
    <row r="2" spans="1:13" s="1" customFormat="1" ht="12.75">
      <c r="A2" s="15" t="s">
        <v>1</v>
      </c>
      <c r="B2" s="16">
        <v>1529</v>
      </c>
      <c r="C2" s="17">
        <v>42654</v>
      </c>
      <c r="D2" s="22" t="str">
        <f>"0001102651"</f>
        <v>0001102651</v>
      </c>
      <c r="E2" s="17">
        <v>42582</v>
      </c>
      <c r="F2" s="17">
        <v>42656</v>
      </c>
      <c r="G2" s="17">
        <v>42613</v>
      </c>
      <c r="H2" s="16" t="s">
        <v>105</v>
      </c>
      <c r="I2" s="16">
        <v>7.7</v>
      </c>
      <c r="J2" s="16">
        <v>0</v>
      </c>
      <c r="K2" s="18">
        <v>7.7</v>
      </c>
      <c r="L2" s="19">
        <f aca="true" t="shared" si="0" ref="L2:L33">+F2-G2</f>
        <v>43</v>
      </c>
      <c r="M2" s="20">
        <f>+L2*K2</f>
        <v>331.1</v>
      </c>
    </row>
    <row r="3" spans="1:13" s="1" customFormat="1" ht="12.75">
      <c r="A3" s="15" t="s">
        <v>208</v>
      </c>
      <c r="B3" s="16">
        <v>1530</v>
      </c>
      <c r="C3" s="17">
        <v>42654</v>
      </c>
      <c r="D3" s="16" t="str">
        <f>"41602061618"</f>
        <v>41602061618</v>
      </c>
      <c r="E3" s="17">
        <v>42549</v>
      </c>
      <c r="F3" s="17">
        <v>42656</v>
      </c>
      <c r="G3" s="17">
        <v>42659</v>
      </c>
      <c r="H3" s="16" t="s">
        <v>105</v>
      </c>
      <c r="I3" s="16">
        <v>235.84</v>
      </c>
      <c r="J3" s="16">
        <v>42.53</v>
      </c>
      <c r="K3" s="18">
        <v>193.31</v>
      </c>
      <c r="L3" s="19">
        <f t="shared" si="0"/>
        <v>-3</v>
      </c>
      <c r="M3" s="20">
        <f aca="true" t="shared" si="1" ref="M3:M66">+L3*K3</f>
        <v>-579.9300000000001</v>
      </c>
    </row>
    <row r="4" spans="1:13" s="1" customFormat="1" ht="12.75">
      <c r="A4" s="15" t="s">
        <v>208</v>
      </c>
      <c r="B4" s="16">
        <v>1531</v>
      </c>
      <c r="C4" s="17">
        <v>42654</v>
      </c>
      <c r="D4" s="16" t="str">
        <f>"41602061617"</f>
        <v>41602061617</v>
      </c>
      <c r="E4" s="17">
        <v>42549</v>
      </c>
      <c r="F4" s="17">
        <v>42656</v>
      </c>
      <c r="G4" s="17">
        <v>42659</v>
      </c>
      <c r="H4" s="16" t="s">
        <v>105</v>
      </c>
      <c r="I4" s="16">
        <v>237.73</v>
      </c>
      <c r="J4" s="16">
        <v>42.87</v>
      </c>
      <c r="K4" s="18">
        <v>194.86</v>
      </c>
      <c r="L4" s="19">
        <f t="shared" si="0"/>
        <v>-3</v>
      </c>
      <c r="M4" s="20">
        <f t="shared" si="1"/>
        <v>-584.58</v>
      </c>
    </row>
    <row r="5" spans="1:13" s="1" customFormat="1" ht="12.75">
      <c r="A5" s="15" t="s">
        <v>208</v>
      </c>
      <c r="B5" s="16">
        <v>1532</v>
      </c>
      <c r="C5" s="17">
        <v>42654</v>
      </c>
      <c r="D5" s="16" t="str">
        <f>"41602061612"</f>
        <v>41602061612</v>
      </c>
      <c r="E5" s="17">
        <v>42549</v>
      </c>
      <c r="F5" s="17">
        <v>42656</v>
      </c>
      <c r="G5" s="17">
        <v>42659</v>
      </c>
      <c r="H5" s="16" t="s">
        <v>105</v>
      </c>
      <c r="I5" s="16">
        <v>144.61</v>
      </c>
      <c r="J5" s="16">
        <v>26.08</v>
      </c>
      <c r="K5" s="18">
        <v>118.53</v>
      </c>
      <c r="L5" s="19">
        <f t="shared" si="0"/>
        <v>-3</v>
      </c>
      <c r="M5" s="20">
        <f t="shared" si="1"/>
        <v>-355.59000000000003</v>
      </c>
    </row>
    <row r="6" spans="1:13" s="1" customFormat="1" ht="12.75">
      <c r="A6" s="15" t="s">
        <v>208</v>
      </c>
      <c r="B6" s="16">
        <v>1533</v>
      </c>
      <c r="C6" s="17">
        <v>42654</v>
      </c>
      <c r="D6" s="16" t="str">
        <f>"41602061616"</f>
        <v>41602061616</v>
      </c>
      <c r="E6" s="17">
        <v>42549</v>
      </c>
      <c r="F6" s="17">
        <v>42656</v>
      </c>
      <c r="G6" s="17">
        <v>42659</v>
      </c>
      <c r="H6" s="16" t="s">
        <v>105</v>
      </c>
      <c r="I6" s="16">
        <v>49.64</v>
      </c>
      <c r="J6" s="16">
        <v>8.95</v>
      </c>
      <c r="K6" s="18">
        <v>40.69</v>
      </c>
      <c r="L6" s="19">
        <f t="shared" si="0"/>
        <v>-3</v>
      </c>
      <c r="M6" s="20">
        <f t="shared" si="1"/>
        <v>-122.07</v>
      </c>
    </row>
    <row r="7" spans="1:13" s="1" customFormat="1" ht="12.75">
      <c r="A7" s="15" t="s">
        <v>208</v>
      </c>
      <c r="B7" s="16">
        <v>1534</v>
      </c>
      <c r="C7" s="17">
        <v>42654</v>
      </c>
      <c r="D7" s="16" t="str">
        <f>"41602061615"</f>
        <v>41602061615</v>
      </c>
      <c r="E7" s="17">
        <v>42549</v>
      </c>
      <c r="F7" s="17">
        <v>42656</v>
      </c>
      <c r="G7" s="17">
        <v>42659</v>
      </c>
      <c r="H7" s="16" t="s">
        <v>105</v>
      </c>
      <c r="I7" s="16">
        <v>35.79</v>
      </c>
      <c r="J7" s="16">
        <v>6.45</v>
      </c>
      <c r="K7" s="18">
        <v>29.34</v>
      </c>
      <c r="L7" s="19">
        <f t="shared" si="0"/>
        <v>-3</v>
      </c>
      <c r="M7" s="20">
        <f t="shared" si="1"/>
        <v>-88.02</v>
      </c>
    </row>
    <row r="8" spans="1:13" s="1" customFormat="1" ht="12.75">
      <c r="A8" s="15" t="s">
        <v>208</v>
      </c>
      <c r="B8" s="16">
        <v>1535</v>
      </c>
      <c r="C8" s="17">
        <v>42654</v>
      </c>
      <c r="D8" s="16" t="str">
        <f>"41602061619"</f>
        <v>41602061619</v>
      </c>
      <c r="E8" s="17">
        <v>42549</v>
      </c>
      <c r="F8" s="17">
        <v>42656</v>
      </c>
      <c r="G8" s="17">
        <v>42659</v>
      </c>
      <c r="H8" s="16" t="s">
        <v>105</v>
      </c>
      <c r="I8" s="16">
        <v>48.84</v>
      </c>
      <c r="J8" s="16">
        <v>8.81</v>
      </c>
      <c r="K8" s="18">
        <v>40.03</v>
      </c>
      <c r="L8" s="19">
        <f t="shared" si="0"/>
        <v>-3</v>
      </c>
      <c r="M8" s="20">
        <f t="shared" si="1"/>
        <v>-120.09</v>
      </c>
    </row>
    <row r="9" spans="1:13" s="1" customFormat="1" ht="12.75">
      <c r="A9" s="15" t="s">
        <v>208</v>
      </c>
      <c r="B9" s="16">
        <v>1536</v>
      </c>
      <c r="C9" s="17">
        <v>42654</v>
      </c>
      <c r="D9" s="16" t="str">
        <f>"41602061614"</f>
        <v>41602061614</v>
      </c>
      <c r="E9" s="17">
        <v>42549</v>
      </c>
      <c r="F9" s="17">
        <v>42656</v>
      </c>
      <c r="G9" s="17">
        <v>42659</v>
      </c>
      <c r="H9" s="16" t="s">
        <v>105</v>
      </c>
      <c r="I9" s="16">
        <v>299.12</v>
      </c>
      <c r="J9" s="16">
        <v>53.94</v>
      </c>
      <c r="K9" s="18">
        <v>245.18</v>
      </c>
      <c r="L9" s="19">
        <f t="shared" si="0"/>
        <v>-3</v>
      </c>
      <c r="M9" s="20">
        <f t="shared" si="1"/>
        <v>-735.54</v>
      </c>
    </row>
    <row r="10" spans="1:13" s="1" customFormat="1" ht="12.75">
      <c r="A10" s="15" t="s">
        <v>208</v>
      </c>
      <c r="B10" s="16">
        <v>1537</v>
      </c>
      <c r="C10" s="17">
        <v>42654</v>
      </c>
      <c r="D10" s="16" t="str">
        <f>"41602061620"</f>
        <v>41602061620</v>
      </c>
      <c r="E10" s="17">
        <v>42549</v>
      </c>
      <c r="F10" s="17">
        <v>42656</v>
      </c>
      <c r="G10" s="17">
        <v>42659</v>
      </c>
      <c r="H10" s="16" t="s">
        <v>105</v>
      </c>
      <c r="I10" s="16">
        <v>15.87</v>
      </c>
      <c r="J10" s="16">
        <v>2.34</v>
      </c>
      <c r="K10" s="18">
        <v>13.53</v>
      </c>
      <c r="L10" s="19">
        <f t="shared" si="0"/>
        <v>-3</v>
      </c>
      <c r="M10" s="20">
        <f t="shared" si="1"/>
        <v>-40.589999999999996</v>
      </c>
    </row>
    <row r="11" spans="1:13" s="1" customFormat="1" ht="12.75">
      <c r="A11" s="15" t="s">
        <v>208</v>
      </c>
      <c r="B11" s="16">
        <v>1538</v>
      </c>
      <c r="C11" s="17">
        <v>42654</v>
      </c>
      <c r="D11" s="16" t="str">
        <f>"41602061613"</f>
        <v>41602061613</v>
      </c>
      <c r="E11" s="17">
        <v>42549</v>
      </c>
      <c r="F11" s="17">
        <v>42656</v>
      </c>
      <c r="G11" s="17">
        <v>42659</v>
      </c>
      <c r="H11" s="16" t="s">
        <v>105</v>
      </c>
      <c r="I11" s="21">
        <v>21.76</v>
      </c>
      <c r="J11" s="16">
        <v>2.87</v>
      </c>
      <c r="K11" s="18">
        <v>18.89</v>
      </c>
      <c r="L11" s="19">
        <f t="shared" si="0"/>
        <v>-3</v>
      </c>
      <c r="M11" s="20">
        <f t="shared" si="1"/>
        <v>-56.67</v>
      </c>
    </row>
    <row r="12" spans="1:13" s="1" customFormat="1" ht="12.75">
      <c r="A12" s="15" t="s">
        <v>208</v>
      </c>
      <c r="B12" s="16">
        <v>1539</v>
      </c>
      <c r="C12" s="17">
        <v>42654</v>
      </c>
      <c r="D12" s="16" t="str">
        <f>"41602061609"</f>
        <v>41602061609</v>
      </c>
      <c r="E12" s="17">
        <v>42549</v>
      </c>
      <c r="F12" s="17">
        <v>42656</v>
      </c>
      <c r="G12" s="17">
        <v>42659</v>
      </c>
      <c r="H12" s="16" t="s">
        <v>105</v>
      </c>
      <c r="I12" s="16">
        <v>35.79</v>
      </c>
      <c r="J12" s="16">
        <v>6.45</v>
      </c>
      <c r="K12" s="18">
        <v>29.34</v>
      </c>
      <c r="L12" s="19">
        <f t="shared" si="0"/>
        <v>-3</v>
      </c>
      <c r="M12" s="20">
        <f t="shared" si="1"/>
        <v>-88.02</v>
      </c>
    </row>
    <row r="13" spans="1:13" s="1" customFormat="1" ht="12.75">
      <c r="A13" s="15" t="s">
        <v>208</v>
      </c>
      <c r="B13" s="16">
        <v>1540</v>
      </c>
      <c r="C13" s="17">
        <v>42654</v>
      </c>
      <c r="D13" s="16" t="str">
        <f>"41602061608"</f>
        <v>41602061608</v>
      </c>
      <c r="E13" s="17">
        <v>42549</v>
      </c>
      <c r="F13" s="17">
        <v>42656</v>
      </c>
      <c r="G13" s="17">
        <v>42659</v>
      </c>
      <c r="H13" s="16" t="s">
        <v>105</v>
      </c>
      <c r="I13" s="16">
        <v>11.6</v>
      </c>
      <c r="J13" s="16">
        <v>2.09</v>
      </c>
      <c r="K13" s="18">
        <v>9.51</v>
      </c>
      <c r="L13" s="19">
        <f t="shared" si="0"/>
        <v>-3</v>
      </c>
      <c r="M13" s="20">
        <f t="shared" si="1"/>
        <v>-28.53</v>
      </c>
    </row>
    <row r="14" spans="1:13" s="1" customFormat="1" ht="12.75">
      <c r="A14" s="15" t="s">
        <v>208</v>
      </c>
      <c r="B14" s="16">
        <v>1541</v>
      </c>
      <c r="C14" s="17">
        <v>42654</v>
      </c>
      <c r="D14" s="16" t="str">
        <f>"41602061611"</f>
        <v>41602061611</v>
      </c>
      <c r="E14" s="17">
        <v>42549</v>
      </c>
      <c r="F14" s="17">
        <v>42656</v>
      </c>
      <c r="G14" s="17">
        <v>42659</v>
      </c>
      <c r="H14" s="16" t="s">
        <v>105</v>
      </c>
      <c r="I14" s="16">
        <v>36.56</v>
      </c>
      <c r="J14" s="16">
        <v>6.59</v>
      </c>
      <c r="K14" s="18">
        <v>29.97</v>
      </c>
      <c r="L14" s="19">
        <f t="shared" si="0"/>
        <v>-3</v>
      </c>
      <c r="M14" s="20">
        <f t="shared" si="1"/>
        <v>-89.91</v>
      </c>
    </row>
    <row r="15" spans="1:13" s="1" customFormat="1" ht="12.75">
      <c r="A15" s="15" t="s">
        <v>207</v>
      </c>
      <c r="B15" s="16">
        <v>1548</v>
      </c>
      <c r="C15" s="17">
        <v>42654</v>
      </c>
      <c r="D15" s="16" t="str">
        <f>"2"</f>
        <v>2</v>
      </c>
      <c r="E15" s="17">
        <v>42628</v>
      </c>
      <c r="F15" s="17">
        <v>42656</v>
      </c>
      <c r="G15" s="17">
        <v>42658</v>
      </c>
      <c r="H15" s="16" t="s">
        <v>105</v>
      </c>
      <c r="I15" s="16">
        <v>250</v>
      </c>
      <c r="J15" s="16">
        <v>0</v>
      </c>
      <c r="K15" s="18">
        <v>250</v>
      </c>
      <c r="L15" s="19">
        <f t="shared" si="0"/>
        <v>-2</v>
      </c>
      <c r="M15" s="20">
        <f t="shared" si="1"/>
        <v>-500</v>
      </c>
    </row>
    <row r="16" spans="1:13" s="1" customFormat="1" ht="12.75">
      <c r="A16" s="15" t="s">
        <v>212</v>
      </c>
      <c r="B16" s="16">
        <v>1550</v>
      </c>
      <c r="C16" s="17">
        <v>42654</v>
      </c>
      <c r="D16" s="16" t="str">
        <f>"217"</f>
        <v>217</v>
      </c>
      <c r="E16" s="17">
        <v>42634</v>
      </c>
      <c r="F16" s="17">
        <v>42656</v>
      </c>
      <c r="G16" s="17">
        <v>42664</v>
      </c>
      <c r="H16" s="16" t="s">
        <v>105</v>
      </c>
      <c r="I16" s="21">
        <v>189.1</v>
      </c>
      <c r="J16" s="16">
        <v>34.1</v>
      </c>
      <c r="K16" s="18">
        <v>155</v>
      </c>
      <c r="L16" s="19">
        <f t="shared" si="0"/>
        <v>-8</v>
      </c>
      <c r="M16" s="20">
        <f t="shared" si="1"/>
        <v>-1240</v>
      </c>
    </row>
    <row r="17" spans="1:13" s="1" customFormat="1" ht="12.75">
      <c r="A17" s="15" t="s">
        <v>208</v>
      </c>
      <c r="B17" s="16">
        <v>1551</v>
      </c>
      <c r="C17" s="17">
        <v>42654</v>
      </c>
      <c r="D17" s="16" t="str">
        <f>"41603133398"</f>
        <v>41603133398</v>
      </c>
      <c r="E17" s="17">
        <v>42641</v>
      </c>
      <c r="F17" s="17">
        <v>42656</v>
      </c>
      <c r="G17" s="17">
        <v>42661</v>
      </c>
      <c r="H17" s="16" t="s">
        <v>105</v>
      </c>
      <c r="I17" s="21">
        <v>4.29</v>
      </c>
      <c r="J17" s="16">
        <v>0.77</v>
      </c>
      <c r="K17" s="18">
        <v>3.52</v>
      </c>
      <c r="L17" s="19">
        <f t="shared" si="0"/>
        <v>-5</v>
      </c>
      <c r="M17" s="20">
        <f t="shared" si="1"/>
        <v>-17.6</v>
      </c>
    </row>
    <row r="18" spans="1:13" s="1" customFormat="1" ht="12.75">
      <c r="A18" s="15" t="s">
        <v>208</v>
      </c>
      <c r="B18" s="16">
        <v>1552</v>
      </c>
      <c r="C18" s="17">
        <v>42655</v>
      </c>
      <c r="D18" s="16" t="str">
        <f>"41603133402"</f>
        <v>41603133402</v>
      </c>
      <c r="E18" s="17">
        <v>42641</v>
      </c>
      <c r="F18" s="17">
        <v>42656</v>
      </c>
      <c r="G18" s="17">
        <v>42661</v>
      </c>
      <c r="H18" s="16" t="s">
        <v>105</v>
      </c>
      <c r="I18" s="16">
        <v>83.52</v>
      </c>
      <c r="J18" s="16">
        <v>15.06</v>
      </c>
      <c r="K18" s="18">
        <v>68.46</v>
      </c>
      <c r="L18" s="19">
        <f t="shared" si="0"/>
        <v>-5</v>
      </c>
      <c r="M18" s="20">
        <f t="shared" si="1"/>
        <v>-342.29999999999995</v>
      </c>
    </row>
    <row r="19" spans="1:13" s="1" customFormat="1" ht="12.75">
      <c r="A19" s="15" t="s">
        <v>208</v>
      </c>
      <c r="B19" s="16">
        <v>1553</v>
      </c>
      <c r="C19" s="17">
        <v>42655</v>
      </c>
      <c r="D19" s="16" t="str">
        <f>"41603133407"</f>
        <v>41603133407</v>
      </c>
      <c r="E19" s="17">
        <v>42641</v>
      </c>
      <c r="F19" s="17">
        <v>42656</v>
      </c>
      <c r="G19" s="17">
        <v>42661</v>
      </c>
      <c r="H19" s="16" t="s">
        <v>105</v>
      </c>
      <c r="I19" s="16">
        <v>36.56</v>
      </c>
      <c r="J19" s="16">
        <v>6.59</v>
      </c>
      <c r="K19" s="18">
        <v>29.97</v>
      </c>
      <c r="L19" s="19">
        <f t="shared" si="0"/>
        <v>-5</v>
      </c>
      <c r="M19" s="20">
        <f t="shared" si="1"/>
        <v>-149.85</v>
      </c>
    </row>
    <row r="20" spans="1:13" s="1" customFormat="1" ht="12.75">
      <c r="A20" s="15" t="s">
        <v>208</v>
      </c>
      <c r="B20" s="16">
        <v>1554</v>
      </c>
      <c r="C20" s="17">
        <v>42655</v>
      </c>
      <c r="D20" s="16" t="str">
        <f>"41603133408"</f>
        <v>41603133408</v>
      </c>
      <c r="E20" s="17">
        <v>42641</v>
      </c>
      <c r="F20" s="17">
        <v>42656</v>
      </c>
      <c r="G20" s="17">
        <v>42661</v>
      </c>
      <c r="H20" s="16" t="s">
        <v>105</v>
      </c>
      <c r="I20" s="16">
        <v>73.26</v>
      </c>
      <c r="J20" s="16">
        <v>13.21</v>
      </c>
      <c r="K20" s="18">
        <v>60.05</v>
      </c>
      <c r="L20" s="19">
        <f t="shared" si="0"/>
        <v>-5</v>
      </c>
      <c r="M20" s="20">
        <f t="shared" si="1"/>
        <v>-300.25</v>
      </c>
    </row>
    <row r="21" spans="1:13" s="1" customFormat="1" ht="12.75">
      <c r="A21" s="15" t="s">
        <v>208</v>
      </c>
      <c r="B21" s="16">
        <v>1555</v>
      </c>
      <c r="C21" s="17">
        <v>42655</v>
      </c>
      <c r="D21" s="16" t="str">
        <f>"41603133410"</f>
        <v>41603133410</v>
      </c>
      <c r="E21" s="17">
        <v>42641</v>
      </c>
      <c r="F21" s="17">
        <v>42656</v>
      </c>
      <c r="G21" s="17">
        <v>42661</v>
      </c>
      <c r="H21" s="16" t="s">
        <v>105</v>
      </c>
      <c r="I21" s="21">
        <v>13.67</v>
      </c>
      <c r="J21" s="16">
        <v>2.14</v>
      </c>
      <c r="K21" s="18">
        <v>11.53</v>
      </c>
      <c r="L21" s="19">
        <f t="shared" si="0"/>
        <v>-5</v>
      </c>
      <c r="M21" s="20">
        <f t="shared" si="1"/>
        <v>-57.65</v>
      </c>
    </row>
    <row r="22" spans="1:13" s="1" customFormat="1" ht="12.75">
      <c r="A22" s="15" t="s">
        <v>208</v>
      </c>
      <c r="B22" s="16">
        <v>1556</v>
      </c>
      <c r="C22" s="17">
        <v>42655</v>
      </c>
      <c r="D22" s="16" t="str">
        <f>"41603133409"</f>
        <v>41603133409</v>
      </c>
      <c r="E22" s="17">
        <v>42641</v>
      </c>
      <c r="F22" s="17">
        <v>42656</v>
      </c>
      <c r="G22" s="17">
        <v>42661</v>
      </c>
      <c r="H22" s="16" t="s">
        <v>105</v>
      </c>
      <c r="I22" s="21">
        <v>31.89</v>
      </c>
      <c r="J22" s="16">
        <v>5.75</v>
      </c>
      <c r="K22" s="18">
        <v>26.14</v>
      </c>
      <c r="L22" s="19">
        <f t="shared" si="0"/>
        <v>-5</v>
      </c>
      <c r="M22" s="20">
        <f t="shared" si="1"/>
        <v>-130.7</v>
      </c>
    </row>
    <row r="23" spans="1:13" s="1" customFormat="1" ht="12.75">
      <c r="A23" s="15" t="s">
        <v>208</v>
      </c>
      <c r="B23" s="16">
        <v>1557</v>
      </c>
      <c r="C23" s="17">
        <v>42655</v>
      </c>
      <c r="D23" s="16" t="str">
        <f>"41603133406"</f>
        <v>41603133406</v>
      </c>
      <c r="E23" s="17">
        <v>42641</v>
      </c>
      <c r="F23" s="17">
        <v>42656</v>
      </c>
      <c r="G23" s="17">
        <v>42661</v>
      </c>
      <c r="H23" s="16" t="s">
        <v>105</v>
      </c>
      <c r="I23" s="16">
        <v>32.71</v>
      </c>
      <c r="J23" s="16">
        <v>5.9</v>
      </c>
      <c r="K23" s="18">
        <v>26.81</v>
      </c>
      <c r="L23" s="19">
        <f t="shared" si="0"/>
        <v>-5</v>
      </c>
      <c r="M23" s="20">
        <f t="shared" si="1"/>
        <v>-134.04999999999998</v>
      </c>
    </row>
    <row r="24" spans="1:13" s="1" customFormat="1" ht="12.75">
      <c r="A24" s="15" t="s">
        <v>208</v>
      </c>
      <c r="B24" s="16">
        <v>1558</v>
      </c>
      <c r="C24" s="17">
        <v>42655</v>
      </c>
      <c r="D24" s="16" t="str">
        <f>"41603133404"</f>
        <v>41603133404</v>
      </c>
      <c r="E24" s="17">
        <v>42641</v>
      </c>
      <c r="F24" s="17">
        <v>42656</v>
      </c>
      <c r="G24" s="17">
        <v>42661</v>
      </c>
      <c r="H24" s="16" t="s">
        <v>105</v>
      </c>
      <c r="I24" s="21">
        <v>185.87</v>
      </c>
      <c r="J24" s="16">
        <v>33.52</v>
      </c>
      <c r="K24" s="18">
        <v>152.35</v>
      </c>
      <c r="L24" s="19">
        <f t="shared" si="0"/>
        <v>-5</v>
      </c>
      <c r="M24" s="20">
        <f t="shared" si="1"/>
        <v>-761.75</v>
      </c>
    </row>
    <row r="25" spans="1:13" s="1" customFormat="1" ht="12.75">
      <c r="A25" s="15" t="s">
        <v>208</v>
      </c>
      <c r="B25" s="16">
        <v>1559</v>
      </c>
      <c r="C25" s="17">
        <v>42655</v>
      </c>
      <c r="D25" s="16" t="str">
        <f>"41603133403"</f>
        <v>41603133403</v>
      </c>
      <c r="E25" s="17">
        <v>42641</v>
      </c>
      <c r="F25" s="17">
        <v>42656</v>
      </c>
      <c r="G25" s="17">
        <v>42661</v>
      </c>
      <c r="H25" s="16" t="s">
        <v>105</v>
      </c>
      <c r="I25" s="16">
        <v>16.3</v>
      </c>
      <c r="J25" s="16">
        <v>2.94</v>
      </c>
      <c r="K25" s="18">
        <v>13.36</v>
      </c>
      <c r="L25" s="19">
        <f t="shared" si="0"/>
        <v>-5</v>
      </c>
      <c r="M25" s="20">
        <f t="shared" si="1"/>
        <v>-66.8</v>
      </c>
    </row>
    <row r="26" spans="1:13" s="1" customFormat="1" ht="12.75">
      <c r="A26" s="15" t="s">
        <v>208</v>
      </c>
      <c r="B26" s="16">
        <v>1560</v>
      </c>
      <c r="C26" s="17">
        <v>42655</v>
      </c>
      <c r="D26" s="16" t="str">
        <f>"41603133401"</f>
        <v>41603133401</v>
      </c>
      <c r="E26" s="17">
        <v>42641</v>
      </c>
      <c r="F26" s="17">
        <v>42656</v>
      </c>
      <c r="G26" s="17">
        <v>42661</v>
      </c>
      <c r="H26" s="16" t="s">
        <v>105</v>
      </c>
      <c r="I26" s="16">
        <v>35.79</v>
      </c>
      <c r="J26" s="16">
        <v>6.45</v>
      </c>
      <c r="K26" s="18">
        <v>29.34</v>
      </c>
      <c r="L26" s="19">
        <f t="shared" si="0"/>
        <v>-5</v>
      </c>
      <c r="M26" s="20">
        <f t="shared" si="1"/>
        <v>-146.7</v>
      </c>
    </row>
    <row r="27" spans="1:13" s="1" customFormat="1" ht="12.75">
      <c r="A27" s="15" t="s">
        <v>208</v>
      </c>
      <c r="B27" s="16">
        <v>1561</v>
      </c>
      <c r="C27" s="17">
        <v>42655</v>
      </c>
      <c r="D27" s="16" t="str">
        <f>"41603133399"</f>
        <v>41603133399</v>
      </c>
      <c r="E27" s="17">
        <v>42641</v>
      </c>
      <c r="F27" s="17">
        <v>42656</v>
      </c>
      <c r="G27" s="17">
        <v>42661</v>
      </c>
      <c r="H27" s="16" t="s">
        <v>105</v>
      </c>
      <c r="I27" s="16">
        <v>35.79</v>
      </c>
      <c r="J27" s="16">
        <v>6.45</v>
      </c>
      <c r="K27" s="18">
        <v>29.34</v>
      </c>
      <c r="L27" s="19">
        <f t="shared" si="0"/>
        <v>-5</v>
      </c>
      <c r="M27" s="20">
        <f t="shared" si="1"/>
        <v>-146.7</v>
      </c>
    </row>
    <row r="28" spans="1:13" s="1" customFormat="1" ht="12.75">
      <c r="A28" s="15" t="s">
        <v>208</v>
      </c>
      <c r="B28" s="16">
        <v>1562</v>
      </c>
      <c r="C28" s="17">
        <v>42655</v>
      </c>
      <c r="D28" s="16" t="str">
        <f>"41603133400"</f>
        <v>41603133400</v>
      </c>
      <c r="E28" s="17">
        <v>42641</v>
      </c>
      <c r="F28" s="17">
        <v>42656</v>
      </c>
      <c r="G28" s="17">
        <v>42661</v>
      </c>
      <c r="H28" s="16" t="s">
        <v>105</v>
      </c>
      <c r="I28" s="16">
        <v>21.05</v>
      </c>
      <c r="J28" s="16">
        <v>3.8</v>
      </c>
      <c r="K28" s="18">
        <v>17.25</v>
      </c>
      <c r="L28" s="19">
        <f t="shared" si="0"/>
        <v>-5</v>
      </c>
      <c r="M28" s="20">
        <f t="shared" si="1"/>
        <v>-86.25</v>
      </c>
    </row>
    <row r="29" spans="1:13" s="1" customFormat="1" ht="12.75">
      <c r="A29" s="15" t="s">
        <v>32</v>
      </c>
      <c r="B29" s="16">
        <v>1565</v>
      </c>
      <c r="C29" s="17">
        <v>42655</v>
      </c>
      <c r="D29" s="16" t="str">
        <f>"68"</f>
        <v>68</v>
      </c>
      <c r="E29" s="17">
        <v>42614</v>
      </c>
      <c r="F29" s="17">
        <v>42656</v>
      </c>
      <c r="G29" s="17">
        <v>42666</v>
      </c>
      <c r="H29" s="16" t="s">
        <v>114</v>
      </c>
      <c r="I29" s="16">
        <v>5499.76</v>
      </c>
      <c r="J29" s="16">
        <v>991.76</v>
      </c>
      <c r="K29" s="18">
        <v>4508</v>
      </c>
      <c r="L29" s="19">
        <f t="shared" si="0"/>
        <v>-10</v>
      </c>
      <c r="M29" s="20">
        <f t="shared" si="1"/>
        <v>-45080</v>
      </c>
    </row>
    <row r="30" spans="1:13" s="1" customFormat="1" ht="26.25">
      <c r="A30" s="15" t="s">
        <v>120</v>
      </c>
      <c r="B30" s="16">
        <v>1567</v>
      </c>
      <c r="C30" s="17">
        <v>42655</v>
      </c>
      <c r="D30" s="22" t="s">
        <v>121</v>
      </c>
      <c r="E30" s="17">
        <v>42580</v>
      </c>
      <c r="F30" s="17">
        <v>42656</v>
      </c>
      <c r="G30" s="17">
        <v>42632</v>
      </c>
      <c r="H30" s="16" t="s">
        <v>105</v>
      </c>
      <c r="I30" s="16">
        <v>645.94</v>
      </c>
      <c r="J30" s="16">
        <v>116.48</v>
      </c>
      <c r="K30" s="18">
        <v>529.46</v>
      </c>
      <c r="L30" s="19">
        <f t="shared" si="0"/>
        <v>24</v>
      </c>
      <c r="M30" s="20">
        <f t="shared" si="1"/>
        <v>12707.04</v>
      </c>
    </row>
    <row r="31" spans="1:13" s="1" customFormat="1" ht="26.25">
      <c r="A31" s="15" t="s">
        <v>120</v>
      </c>
      <c r="B31" s="16">
        <v>1568</v>
      </c>
      <c r="C31" s="17">
        <v>42655</v>
      </c>
      <c r="D31" s="22" t="s">
        <v>0</v>
      </c>
      <c r="E31" s="17">
        <v>42613</v>
      </c>
      <c r="F31" s="17">
        <v>42656</v>
      </c>
      <c r="G31" s="17">
        <v>42652</v>
      </c>
      <c r="H31" s="16" t="s">
        <v>105</v>
      </c>
      <c r="I31" s="16">
        <v>645.94</v>
      </c>
      <c r="J31" s="16">
        <v>116.48</v>
      </c>
      <c r="K31" s="18">
        <v>529.46</v>
      </c>
      <c r="L31" s="19">
        <f t="shared" si="0"/>
        <v>4</v>
      </c>
      <c r="M31" s="20">
        <f t="shared" si="1"/>
        <v>2117.84</v>
      </c>
    </row>
    <row r="32" spans="1:13" s="1" customFormat="1" ht="12.75">
      <c r="A32" s="15" t="s">
        <v>5</v>
      </c>
      <c r="B32" s="16">
        <v>1569</v>
      </c>
      <c r="C32" s="17">
        <v>42655</v>
      </c>
      <c r="D32" s="22" t="s">
        <v>6</v>
      </c>
      <c r="E32" s="17">
        <v>42604</v>
      </c>
      <c r="F32" s="17">
        <v>42656</v>
      </c>
      <c r="G32" s="17">
        <v>42634</v>
      </c>
      <c r="H32" s="16" t="s">
        <v>105</v>
      </c>
      <c r="I32" s="16">
        <v>1976.4</v>
      </c>
      <c r="J32" s="16">
        <v>356.4</v>
      </c>
      <c r="K32" s="18">
        <v>1620</v>
      </c>
      <c r="L32" s="19">
        <f t="shared" si="0"/>
        <v>22</v>
      </c>
      <c r="M32" s="20">
        <f t="shared" si="1"/>
        <v>35640</v>
      </c>
    </row>
    <row r="33" spans="1:13" s="1" customFormat="1" ht="12.75">
      <c r="A33" s="15" t="s">
        <v>2</v>
      </c>
      <c r="B33" s="16">
        <v>1570</v>
      </c>
      <c r="C33" s="17">
        <v>42655</v>
      </c>
      <c r="D33" s="22" t="str">
        <f>"11620187"</f>
        <v>11620187</v>
      </c>
      <c r="E33" s="17">
        <v>42583</v>
      </c>
      <c r="F33" s="17">
        <v>42656</v>
      </c>
      <c r="G33" s="17">
        <v>42637</v>
      </c>
      <c r="H33" s="16" t="s">
        <v>105</v>
      </c>
      <c r="I33" s="16">
        <v>164.7</v>
      </c>
      <c r="J33" s="16">
        <v>29.7</v>
      </c>
      <c r="K33" s="18">
        <v>135</v>
      </c>
      <c r="L33" s="19">
        <f t="shared" si="0"/>
        <v>19</v>
      </c>
      <c r="M33" s="20">
        <f t="shared" si="1"/>
        <v>2565</v>
      </c>
    </row>
    <row r="34" spans="1:13" s="1" customFormat="1" ht="12.75">
      <c r="A34" s="15" t="s">
        <v>24</v>
      </c>
      <c r="B34" s="16">
        <v>1571</v>
      </c>
      <c r="C34" s="17">
        <v>42655</v>
      </c>
      <c r="D34" s="16" t="s">
        <v>25</v>
      </c>
      <c r="E34" s="17">
        <v>42614</v>
      </c>
      <c r="F34" s="17">
        <v>42656</v>
      </c>
      <c r="G34" s="17">
        <v>42648</v>
      </c>
      <c r="H34" s="16" t="s">
        <v>114</v>
      </c>
      <c r="I34" s="21">
        <v>173.18</v>
      </c>
      <c r="J34" s="16">
        <v>31.23</v>
      </c>
      <c r="K34" s="18">
        <v>141.95</v>
      </c>
      <c r="L34" s="19">
        <f aca="true" t="shared" si="2" ref="L34:L66">+F34-G34</f>
        <v>8</v>
      </c>
      <c r="M34" s="20">
        <f t="shared" si="1"/>
        <v>1135.6</v>
      </c>
    </row>
    <row r="35" spans="1:13" s="1" customFormat="1" ht="12.75">
      <c r="A35" s="15" t="s">
        <v>24</v>
      </c>
      <c r="B35" s="16">
        <v>1571</v>
      </c>
      <c r="C35" s="17">
        <v>42655</v>
      </c>
      <c r="D35" s="16" t="s">
        <v>26</v>
      </c>
      <c r="E35" s="17">
        <v>42614</v>
      </c>
      <c r="F35" s="17">
        <v>42656</v>
      </c>
      <c r="G35" s="17">
        <v>42648</v>
      </c>
      <c r="H35" s="16" t="s">
        <v>114</v>
      </c>
      <c r="I35" s="16">
        <v>153.02</v>
      </c>
      <c r="J35" s="16">
        <v>27.59</v>
      </c>
      <c r="K35" s="18">
        <v>125.43</v>
      </c>
      <c r="L35" s="19">
        <f t="shared" si="2"/>
        <v>8</v>
      </c>
      <c r="M35" s="20">
        <f t="shared" si="1"/>
        <v>1003.44</v>
      </c>
    </row>
    <row r="36" spans="1:13" s="1" customFormat="1" ht="12.75">
      <c r="A36" s="15" t="s">
        <v>24</v>
      </c>
      <c r="B36" s="16">
        <v>1571</v>
      </c>
      <c r="C36" s="17">
        <v>42655</v>
      </c>
      <c r="D36" s="16" t="s">
        <v>26</v>
      </c>
      <c r="E36" s="17">
        <v>42614</v>
      </c>
      <c r="F36" s="17">
        <v>42656</v>
      </c>
      <c r="G36" s="17">
        <v>42648</v>
      </c>
      <c r="H36" s="16" t="s">
        <v>114</v>
      </c>
      <c r="I36" s="16">
        <v>605.72</v>
      </c>
      <c r="J36" s="16">
        <v>0</v>
      </c>
      <c r="K36" s="18">
        <v>605.72</v>
      </c>
      <c r="L36" s="19">
        <f t="shared" si="2"/>
        <v>8</v>
      </c>
      <c r="M36" s="20">
        <f t="shared" si="1"/>
        <v>4845.76</v>
      </c>
    </row>
    <row r="37" spans="1:13" s="1" customFormat="1" ht="12.75">
      <c r="A37" s="15" t="s">
        <v>24</v>
      </c>
      <c r="B37" s="16">
        <v>1571</v>
      </c>
      <c r="C37" s="17">
        <v>42655</v>
      </c>
      <c r="D37" s="16" t="s">
        <v>27</v>
      </c>
      <c r="E37" s="17">
        <v>42614</v>
      </c>
      <c r="F37" s="17">
        <v>42656</v>
      </c>
      <c r="G37" s="17">
        <v>42648</v>
      </c>
      <c r="H37" s="16" t="s">
        <v>114</v>
      </c>
      <c r="I37" s="16">
        <v>620.92</v>
      </c>
      <c r="J37" s="16">
        <v>0</v>
      </c>
      <c r="K37" s="18">
        <v>620.92</v>
      </c>
      <c r="L37" s="19">
        <f t="shared" si="2"/>
        <v>8</v>
      </c>
      <c r="M37" s="20">
        <f t="shared" si="1"/>
        <v>4967.36</v>
      </c>
    </row>
    <row r="38" spans="1:13" s="1" customFormat="1" ht="12.75">
      <c r="A38" s="15" t="s">
        <v>24</v>
      </c>
      <c r="B38" s="16">
        <v>1571</v>
      </c>
      <c r="C38" s="17">
        <v>42655</v>
      </c>
      <c r="D38" s="16" t="s">
        <v>27</v>
      </c>
      <c r="E38" s="17">
        <v>42614</v>
      </c>
      <c r="F38" s="17">
        <v>42656</v>
      </c>
      <c r="G38" s="17">
        <v>42648</v>
      </c>
      <c r="H38" s="16" t="s">
        <v>114</v>
      </c>
      <c r="I38" s="16">
        <v>156.86</v>
      </c>
      <c r="J38" s="16">
        <v>28.29</v>
      </c>
      <c r="K38" s="18">
        <v>128.57</v>
      </c>
      <c r="L38" s="19">
        <f t="shared" si="2"/>
        <v>8</v>
      </c>
      <c r="M38" s="20">
        <f t="shared" si="1"/>
        <v>1028.56</v>
      </c>
    </row>
    <row r="39" spans="1:13" s="1" customFormat="1" ht="12.75">
      <c r="A39" s="15" t="s">
        <v>24</v>
      </c>
      <c r="B39" s="16">
        <v>1571</v>
      </c>
      <c r="C39" s="17">
        <v>42655</v>
      </c>
      <c r="D39" s="16" t="s">
        <v>25</v>
      </c>
      <c r="E39" s="17">
        <v>42614</v>
      </c>
      <c r="F39" s="17">
        <v>42656</v>
      </c>
      <c r="G39" s="17">
        <v>42648</v>
      </c>
      <c r="H39" s="16" t="s">
        <v>114</v>
      </c>
      <c r="I39" s="16">
        <v>685.52</v>
      </c>
      <c r="J39" s="16">
        <v>0</v>
      </c>
      <c r="K39" s="18">
        <v>685.52</v>
      </c>
      <c r="L39" s="19">
        <f t="shared" si="2"/>
        <v>8</v>
      </c>
      <c r="M39" s="20">
        <f t="shared" si="1"/>
        <v>5484.16</v>
      </c>
    </row>
    <row r="40" spans="1:13" s="1" customFormat="1" ht="12.75">
      <c r="A40" s="15" t="s">
        <v>16</v>
      </c>
      <c r="B40" s="16">
        <v>1572</v>
      </c>
      <c r="C40" s="17">
        <v>42655</v>
      </c>
      <c r="D40" s="16" t="str">
        <f>"16065"</f>
        <v>16065</v>
      </c>
      <c r="E40" s="17">
        <v>42613</v>
      </c>
      <c r="F40" s="17">
        <v>42656</v>
      </c>
      <c r="G40" s="17">
        <v>42650</v>
      </c>
      <c r="H40" s="16" t="s">
        <v>105</v>
      </c>
      <c r="I40" s="16">
        <v>1170.41</v>
      </c>
      <c r="J40" s="16">
        <v>211.06</v>
      </c>
      <c r="K40" s="18">
        <v>959.35</v>
      </c>
      <c r="L40" s="19">
        <f t="shared" si="2"/>
        <v>6</v>
      </c>
      <c r="M40" s="20">
        <f t="shared" si="1"/>
        <v>5756.1</v>
      </c>
    </row>
    <row r="41" spans="1:13" s="1" customFormat="1" ht="12.75">
      <c r="A41" s="15" t="s">
        <v>14</v>
      </c>
      <c r="B41" s="16">
        <v>1573</v>
      </c>
      <c r="C41" s="17">
        <v>42655</v>
      </c>
      <c r="D41" s="16" t="s">
        <v>15</v>
      </c>
      <c r="E41" s="17">
        <v>42641</v>
      </c>
      <c r="F41" s="17">
        <v>42656</v>
      </c>
      <c r="G41" s="17">
        <v>42672</v>
      </c>
      <c r="H41" s="16" t="s">
        <v>105</v>
      </c>
      <c r="I41" s="16">
        <v>10920.09</v>
      </c>
      <c r="J41" s="16">
        <v>1969.2</v>
      </c>
      <c r="K41" s="18">
        <v>8950.89</v>
      </c>
      <c r="L41" s="19">
        <f t="shared" si="2"/>
        <v>-16</v>
      </c>
      <c r="M41" s="20">
        <f t="shared" si="1"/>
        <v>-143214.24</v>
      </c>
    </row>
    <row r="42" spans="1:13" s="1" customFormat="1" ht="12.75">
      <c r="A42" s="15" t="s">
        <v>70</v>
      </c>
      <c r="B42" s="16">
        <v>1574</v>
      </c>
      <c r="C42" s="17">
        <v>42655</v>
      </c>
      <c r="D42" s="16" t="str">
        <f>"1009"</f>
        <v>1009</v>
      </c>
      <c r="E42" s="17">
        <v>42643</v>
      </c>
      <c r="F42" s="17">
        <v>42656</v>
      </c>
      <c r="G42" s="17">
        <v>42673</v>
      </c>
      <c r="H42" s="16" t="s">
        <v>105</v>
      </c>
      <c r="I42" s="16">
        <v>658.8</v>
      </c>
      <c r="J42" s="16">
        <v>118.8</v>
      </c>
      <c r="K42" s="18">
        <v>540</v>
      </c>
      <c r="L42" s="19">
        <f t="shared" si="2"/>
        <v>-17</v>
      </c>
      <c r="M42" s="20">
        <f t="shared" si="1"/>
        <v>-9180</v>
      </c>
    </row>
    <row r="43" spans="1:13" s="1" customFormat="1" ht="12.75">
      <c r="A43" s="15" t="s">
        <v>82</v>
      </c>
      <c r="B43" s="16">
        <v>1575</v>
      </c>
      <c r="C43" s="17">
        <v>42655</v>
      </c>
      <c r="D43" s="16" t="str">
        <f>"0031161981"</f>
        <v>0031161981</v>
      </c>
      <c r="E43" s="17">
        <v>42643</v>
      </c>
      <c r="F43" s="17">
        <v>42656</v>
      </c>
      <c r="G43" s="17">
        <v>42677</v>
      </c>
      <c r="H43" s="16" t="s">
        <v>114</v>
      </c>
      <c r="I43" s="16">
        <v>158.6</v>
      </c>
      <c r="J43" s="16">
        <v>28.6</v>
      </c>
      <c r="K43" s="18">
        <v>130</v>
      </c>
      <c r="L43" s="19">
        <f t="shared" si="2"/>
        <v>-21</v>
      </c>
      <c r="M43" s="20">
        <f t="shared" si="1"/>
        <v>-2730</v>
      </c>
    </row>
    <row r="44" spans="1:13" s="1" customFormat="1" ht="26.25">
      <c r="A44" s="15" t="s">
        <v>138</v>
      </c>
      <c r="B44" s="16">
        <v>1581</v>
      </c>
      <c r="C44" s="17">
        <v>42655</v>
      </c>
      <c r="D44" s="16" t="s">
        <v>139</v>
      </c>
      <c r="E44" s="17">
        <v>42625</v>
      </c>
      <c r="F44" s="17">
        <v>42656</v>
      </c>
      <c r="G44" s="17">
        <v>42685</v>
      </c>
      <c r="H44" s="16" t="s">
        <v>105</v>
      </c>
      <c r="I44" s="16">
        <v>5754.99</v>
      </c>
      <c r="J44" s="16">
        <v>221.35</v>
      </c>
      <c r="K44" s="18">
        <v>5533.64</v>
      </c>
      <c r="L44" s="19">
        <f t="shared" si="2"/>
        <v>-29</v>
      </c>
      <c r="M44" s="20">
        <f t="shared" si="1"/>
        <v>-160475.56</v>
      </c>
    </row>
    <row r="45" spans="1:13" s="1" customFormat="1" ht="12.75">
      <c r="A45" s="15" t="s">
        <v>16</v>
      </c>
      <c r="B45" s="16">
        <v>1582</v>
      </c>
      <c r="C45" s="17">
        <v>42655</v>
      </c>
      <c r="D45" s="16" t="str">
        <f>"16082"</f>
        <v>16082</v>
      </c>
      <c r="E45" s="17">
        <v>42643</v>
      </c>
      <c r="F45" s="17">
        <v>42656</v>
      </c>
      <c r="G45" s="17">
        <v>42680</v>
      </c>
      <c r="H45" s="16" t="s">
        <v>105</v>
      </c>
      <c r="I45" s="16">
        <v>1173.62</v>
      </c>
      <c r="J45" s="16">
        <v>211.64</v>
      </c>
      <c r="K45" s="18">
        <v>961.98</v>
      </c>
      <c r="L45" s="19">
        <f t="shared" si="2"/>
        <v>-24</v>
      </c>
      <c r="M45" s="20">
        <f t="shared" si="1"/>
        <v>-23087.52</v>
      </c>
    </row>
    <row r="46" spans="1:13" s="1" customFormat="1" ht="26.25">
      <c r="A46" s="15" t="s">
        <v>120</v>
      </c>
      <c r="B46" s="16">
        <v>1583</v>
      </c>
      <c r="C46" s="17">
        <v>42655</v>
      </c>
      <c r="D46" s="16" t="s">
        <v>17</v>
      </c>
      <c r="E46" s="17">
        <v>42643</v>
      </c>
      <c r="F46" s="17">
        <v>42656</v>
      </c>
      <c r="G46" s="17">
        <v>42681</v>
      </c>
      <c r="H46" s="16" t="s">
        <v>105</v>
      </c>
      <c r="I46" s="16">
        <v>645.94</v>
      </c>
      <c r="J46" s="16">
        <v>116.48</v>
      </c>
      <c r="K46" s="18">
        <v>529.46</v>
      </c>
      <c r="L46" s="19">
        <f t="shared" si="2"/>
        <v>-25</v>
      </c>
      <c r="M46" s="20">
        <f t="shared" si="1"/>
        <v>-13236.5</v>
      </c>
    </row>
    <row r="47" spans="1:13" s="1" customFormat="1" ht="12.75">
      <c r="A47" s="15" t="s">
        <v>213</v>
      </c>
      <c r="B47" s="16">
        <v>1584</v>
      </c>
      <c r="C47" s="17">
        <v>42656</v>
      </c>
      <c r="D47" s="16" t="str">
        <f>"0001128971"</f>
        <v>0001128971</v>
      </c>
      <c r="E47" s="17">
        <v>42643</v>
      </c>
      <c r="F47" s="17">
        <v>42656</v>
      </c>
      <c r="G47" s="17">
        <v>42680</v>
      </c>
      <c r="H47" s="16" t="s">
        <v>105</v>
      </c>
      <c r="I47" s="16">
        <v>569.8</v>
      </c>
      <c r="J47" s="16">
        <v>0</v>
      </c>
      <c r="K47" s="18">
        <v>569.8</v>
      </c>
      <c r="L47" s="19">
        <f t="shared" si="2"/>
        <v>-24</v>
      </c>
      <c r="M47" s="20">
        <f t="shared" si="1"/>
        <v>-13675.199999999999</v>
      </c>
    </row>
    <row r="48" spans="1:13" s="1" customFormat="1" ht="12.75">
      <c r="A48" s="15" t="s">
        <v>213</v>
      </c>
      <c r="B48" s="16">
        <v>1584</v>
      </c>
      <c r="C48" s="17">
        <v>42656</v>
      </c>
      <c r="D48" s="16" t="str">
        <f>"0001129337"</f>
        <v>0001129337</v>
      </c>
      <c r="E48" s="17">
        <v>42643</v>
      </c>
      <c r="F48" s="17">
        <v>42656</v>
      </c>
      <c r="G48" s="17">
        <v>42680</v>
      </c>
      <c r="H48" s="16" t="s">
        <v>105</v>
      </c>
      <c r="I48" s="16">
        <v>1531.2</v>
      </c>
      <c r="J48" s="16">
        <v>0</v>
      </c>
      <c r="K48" s="18">
        <v>1531.2</v>
      </c>
      <c r="L48" s="19">
        <f t="shared" si="2"/>
        <v>-24</v>
      </c>
      <c r="M48" s="20">
        <f t="shared" si="1"/>
        <v>-36748.8</v>
      </c>
    </row>
    <row r="49" spans="1:13" s="1" customFormat="1" ht="12.75">
      <c r="A49" s="15" t="s">
        <v>213</v>
      </c>
      <c r="B49" s="16">
        <v>1585</v>
      </c>
      <c r="C49" s="17">
        <v>42656</v>
      </c>
      <c r="D49" s="16" t="str">
        <f>"0002136502"</f>
        <v>0002136502</v>
      </c>
      <c r="E49" s="17">
        <v>42643</v>
      </c>
      <c r="F49" s="17">
        <v>42656</v>
      </c>
      <c r="G49" s="17">
        <v>42704</v>
      </c>
      <c r="H49" s="16" t="s">
        <v>105</v>
      </c>
      <c r="I49" s="16">
        <v>849.12</v>
      </c>
      <c r="J49" s="16">
        <v>153.12</v>
      </c>
      <c r="K49" s="18">
        <v>696</v>
      </c>
      <c r="L49" s="19">
        <f t="shared" si="2"/>
        <v>-48</v>
      </c>
      <c r="M49" s="20">
        <f t="shared" si="1"/>
        <v>-33408</v>
      </c>
    </row>
    <row r="50" spans="1:13" s="1" customFormat="1" ht="12.75">
      <c r="A50" s="15" t="s">
        <v>164</v>
      </c>
      <c r="B50" s="16">
        <v>1586</v>
      </c>
      <c r="C50" s="17">
        <v>42656</v>
      </c>
      <c r="D50" s="16" t="str">
        <f>"1465"</f>
        <v>1465</v>
      </c>
      <c r="E50" s="17">
        <v>42634</v>
      </c>
      <c r="F50" s="17">
        <v>42656</v>
      </c>
      <c r="G50" s="17">
        <v>42704</v>
      </c>
      <c r="H50" s="16" t="s">
        <v>105</v>
      </c>
      <c r="I50" s="16">
        <v>1755.7</v>
      </c>
      <c r="J50" s="16">
        <v>316.6</v>
      </c>
      <c r="K50" s="18">
        <v>1439.1</v>
      </c>
      <c r="L50" s="19">
        <f t="shared" si="2"/>
        <v>-48</v>
      </c>
      <c r="M50" s="20">
        <f t="shared" si="1"/>
        <v>-69076.79999999999</v>
      </c>
    </row>
    <row r="51" spans="1:13" s="1" customFormat="1" ht="26.25">
      <c r="A51" s="15" t="s">
        <v>216</v>
      </c>
      <c r="B51" s="16">
        <v>1587</v>
      </c>
      <c r="C51" s="17">
        <v>42656</v>
      </c>
      <c r="D51" s="16" t="s">
        <v>217</v>
      </c>
      <c r="E51" s="17">
        <v>42632</v>
      </c>
      <c r="F51" s="17">
        <v>42656</v>
      </c>
      <c r="G51" s="17">
        <v>42666</v>
      </c>
      <c r="H51" s="16" t="s">
        <v>114</v>
      </c>
      <c r="I51" s="21">
        <v>994.3</v>
      </c>
      <c r="J51" s="16">
        <v>179.3</v>
      </c>
      <c r="K51" s="18">
        <v>815</v>
      </c>
      <c r="L51" s="19">
        <f t="shared" si="2"/>
        <v>-10</v>
      </c>
      <c r="M51" s="20">
        <f t="shared" si="1"/>
        <v>-8150</v>
      </c>
    </row>
    <row r="52" spans="1:13" s="1" customFormat="1" ht="12.75">
      <c r="A52" s="15" t="s">
        <v>126</v>
      </c>
      <c r="B52" s="16">
        <v>1588</v>
      </c>
      <c r="C52" s="17">
        <v>42656</v>
      </c>
      <c r="D52" s="22" t="str">
        <f>"8201058593"</f>
        <v>8201058593</v>
      </c>
      <c r="E52" s="17">
        <v>42551</v>
      </c>
      <c r="F52" s="17">
        <v>42656</v>
      </c>
      <c r="G52" s="17">
        <v>42680</v>
      </c>
      <c r="H52" s="16" t="s">
        <v>105</v>
      </c>
      <c r="I52" s="16">
        <v>1961.28</v>
      </c>
      <c r="J52" s="16">
        <v>353.67</v>
      </c>
      <c r="K52" s="18">
        <v>1607.61</v>
      </c>
      <c r="L52" s="19">
        <f t="shared" si="2"/>
        <v>-24</v>
      </c>
      <c r="M52" s="20">
        <f t="shared" si="1"/>
        <v>-38582.64</v>
      </c>
    </row>
    <row r="53" spans="1:13" s="1" customFormat="1" ht="12.75">
      <c r="A53" s="15" t="s">
        <v>208</v>
      </c>
      <c r="B53" s="16">
        <v>1589</v>
      </c>
      <c r="C53" s="17">
        <v>42656</v>
      </c>
      <c r="D53" s="16" t="str">
        <f>"41603133405"</f>
        <v>41603133405</v>
      </c>
      <c r="E53" s="17">
        <v>42641</v>
      </c>
      <c r="F53" s="17">
        <v>42656</v>
      </c>
      <c r="G53" s="17">
        <v>42661</v>
      </c>
      <c r="H53" s="16" t="s">
        <v>105</v>
      </c>
      <c r="I53" s="16">
        <v>35.79</v>
      </c>
      <c r="J53" s="16">
        <v>6.45</v>
      </c>
      <c r="K53" s="18">
        <v>29.34</v>
      </c>
      <c r="L53" s="19">
        <f t="shared" si="2"/>
        <v>-5</v>
      </c>
      <c r="M53" s="20">
        <f t="shared" si="1"/>
        <v>-146.7</v>
      </c>
    </row>
    <row r="54" spans="1:13" s="1" customFormat="1" ht="12.75">
      <c r="A54" s="15" t="s">
        <v>190</v>
      </c>
      <c r="B54" s="16">
        <v>1590</v>
      </c>
      <c r="C54" s="17">
        <v>42656</v>
      </c>
      <c r="D54" s="22" t="s">
        <v>43</v>
      </c>
      <c r="E54" s="17">
        <v>42646</v>
      </c>
      <c r="F54" s="17">
        <v>42656</v>
      </c>
      <c r="G54" s="17">
        <v>42667</v>
      </c>
      <c r="H54" s="16" t="s">
        <v>105</v>
      </c>
      <c r="I54" s="16">
        <v>403.75</v>
      </c>
      <c r="J54" s="16">
        <v>72.81</v>
      </c>
      <c r="K54" s="18">
        <v>330.94</v>
      </c>
      <c r="L54" s="19">
        <f t="shared" si="2"/>
        <v>-11</v>
      </c>
      <c r="M54" s="20">
        <f t="shared" si="1"/>
        <v>-3640.34</v>
      </c>
    </row>
    <row r="55" spans="1:13" s="1" customFormat="1" ht="12.75">
      <c r="A55" s="15" t="s">
        <v>190</v>
      </c>
      <c r="B55" s="16">
        <v>1591</v>
      </c>
      <c r="C55" s="17">
        <v>42656</v>
      </c>
      <c r="D55" s="22" t="s">
        <v>41</v>
      </c>
      <c r="E55" s="17">
        <v>42646</v>
      </c>
      <c r="F55" s="17">
        <v>42656</v>
      </c>
      <c r="G55" s="17">
        <v>42667</v>
      </c>
      <c r="H55" s="16" t="s">
        <v>105</v>
      </c>
      <c r="I55" s="16">
        <v>255.72</v>
      </c>
      <c r="J55" s="16">
        <v>46.11</v>
      </c>
      <c r="K55" s="18">
        <v>209.61</v>
      </c>
      <c r="L55" s="19">
        <f t="shared" si="2"/>
        <v>-11</v>
      </c>
      <c r="M55" s="20">
        <f t="shared" si="1"/>
        <v>-2305.71</v>
      </c>
    </row>
    <row r="56" spans="1:13" s="1" customFormat="1" ht="12.75">
      <c r="A56" s="15" t="s">
        <v>190</v>
      </c>
      <c r="B56" s="16">
        <v>1592</v>
      </c>
      <c r="C56" s="17">
        <v>42656</v>
      </c>
      <c r="D56" s="22" t="s">
        <v>44</v>
      </c>
      <c r="E56" s="17">
        <v>42646</v>
      </c>
      <c r="F56" s="17">
        <v>42656</v>
      </c>
      <c r="G56" s="17">
        <v>42667</v>
      </c>
      <c r="H56" s="16" t="s">
        <v>105</v>
      </c>
      <c r="I56" s="16">
        <v>559.14</v>
      </c>
      <c r="J56" s="16">
        <v>100.83</v>
      </c>
      <c r="K56" s="18">
        <v>458.31</v>
      </c>
      <c r="L56" s="19">
        <f t="shared" si="2"/>
        <v>-11</v>
      </c>
      <c r="M56" s="20">
        <f t="shared" si="1"/>
        <v>-5041.41</v>
      </c>
    </row>
    <row r="57" spans="1:13" s="1" customFormat="1" ht="12.75">
      <c r="A57" s="15" t="s">
        <v>190</v>
      </c>
      <c r="B57" s="16">
        <v>1593</v>
      </c>
      <c r="C57" s="17">
        <v>42656</v>
      </c>
      <c r="D57" s="22" t="s">
        <v>45</v>
      </c>
      <c r="E57" s="17">
        <v>42646</v>
      </c>
      <c r="F57" s="17">
        <v>42656</v>
      </c>
      <c r="G57" s="17">
        <v>42667</v>
      </c>
      <c r="H57" s="16" t="s">
        <v>105</v>
      </c>
      <c r="I57" s="16">
        <v>240.54</v>
      </c>
      <c r="J57" s="16">
        <v>43.38</v>
      </c>
      <c r="K57" s="18">
        <v>197.16</v>
      </c>
      <c r="L57" s="19">
        <f t="shared" si="2"/>
        <v>-11</v>
      </c>
      <c r="M57" s="20">
        <f t="shared" si="1"/>
        <v>-2168.7599999999998</v>
      </c>
    </row>
    <row r="58" spans="1:13" s="1" customFormat="1" ht="12.75">
      <c r="A58" s="15" t="s">
        <v>190</v>
      </c>
      <c r="B58" s="16">
        <v>1594</v>
      </c>
      <c r="C58" s="17">
        <v>42656</v>
      </c>
      <c r="D58" s="22" t="s">
        <v>42</v>
      </c>
      <c r="E58" s="17">
        <v>42646</v>
      </c>
      <c r="F58" s="17">
        <v>42656</v>
      </c>
      <c r="G58" s="17">
        <v>42667</v>
      </c>
      <c r="H58" s="16" t="s">
        <v>105</v>
      </c>
      <c r="I58" s="16">
        <v>119.05</v>
      </c>
      <c r="J58" s="16">
        <v>21.47</v>
      </c>
      <c r="K58" s="18">
        <v>97.58</v>
      </c>
      <c r="L58" s="19">
        <f t="shared" si="2"/>
        <v>-11</v>
      </c>
      <c r="M58" s="20">
        <f t="shared" si="1"/>
        <v>-1073.3799999999999</v>
      </c>
    </row>
    <row r="59" spans="1:13" s="1" customFormat="1" ht="12.75">
      <c r="A59" s="15" t="s">
        <v>190</v>
      </c>
      <c r="B59" s="16">
        <v>1595</v>
      </c>
      <c r="C59" s="17">
        <v>42656</v>
      </c>
      <c r="D59" s="16" t="s">
        <v>37</v>
      </c>
      <c r="E59" s="17">
        <v>42646</v>
      </c>
      <c r="F59" s="17">
        <v>42656</v>
      </c>
      <c r="G59" s="17">
        <v>42667</v>
      </c>
      <c r="H59" s="16" t="s">
        <v>105</v>
      </c>
      <c r="I59" s="16">
        <v>433.14</v>
      </c>
      <c r="J59" s="16">
        <v>78.11</v>
      </c>
      <c r="K59" s="18">
        <v>355.03</v>
      </c>
      <c r="L59" s="19">
        <f t="shared" si="2"/>
        <v>-11</v>
      </c>
      <c r="M59" s="20">
        <f t="shared" si="1"/>
        <v>-3905.33</v>
      </c>
    </row>
    <row r="60" spans="1:13" s="1" customFormat="1" ht="12.75">
      <c r="A60" s="15" t="s">
        <v>190</v>
      </c>
      <c r="B60" s="16">
        <v>1596</v>
      </c>
      <c r="C60" s="17">
        <v>42656</v>
      </c>
      <c r="D60" s="16" t="s">
        <v>39</v>
      </c>
      <c r="E60" s="17">
        <v>42646</v>
      </c>
      <c r="F60" s="17">
        <v>42656</v>
      </c>
      <c r="G60" s="17">
        <v>42667</v>
      </c>
      <c r="H60" s="16" t="s">
        <v>105</v>
      </c>
      <c r="I60" s="16">
        <v>137.23</v>
      </c>
      <c r="J60" s="16">
        <v>24.75</v>
      </c>
      <c r="K60" s="18">
        <v>112.48</v>
      </c>
      <c r="L60" s="19">
        <f t="shared" si="2"/>
        <v>-11</v>
      </c>
      <c r="M60" s="20">
        <f t="shared" si="1"/>
        <v>-1237.28</v>
      </c>
    </row>
    <row r="61" spans="1:13" s="1" customFormat="1" ht="12.75">
      <c r="A61" s="15" t="s">
        <v>190</v>
      </c>
      <c r="B61" s="16">
        <v>1597</v>
      </c>
      <c r="C61" s="17">
        <v>42656</v>
      </c>
      <c r="D61" s="16" t="s">
        <v>40</v>
      </c>
      <c r="E61" s="17">
        <v>42646</v>
      </c>
      <c r="F61" s="17">
        <v>42656</v>
      </c>
      <c r="G61" s="17">
        <v>42667</v>
      </c>
      <c r="H61" s="16" t="s">
        <v>105</v>
      </c>
      <c r="I61" s="16">
        <v>468.07</v>
      </c>
      <c r="J61" s="16">
        <v>84.41</v>
      </c>
      <c r="K61" s="18">
        <v>383.66</v>
      </c>
      <c r="L61" s="19">
        <f t="shared" si="2"/>
        <v>-11</v>
      </c>
      <c r="M61" s="20">
        <f t="shared" si="1"/>
        <v>-4220.26</v>
      </c>
    </row>
    <row r="62" spans="1:13" s="1" customFormat="1" ht="12.75">
      <c r="A62" s="15" t="s">
        <v>190</v>
      </c>
      <c r="B62" s="16">
        <v>1598</v>
      </c>
      <c r="C62" s="17">
        <v>42656</v>
      </c>
      <c r="D62" s="16" t="s">
        <v>38</v>
      </c>
      <c r="E62" s="17">
        <v>42646</v>
      </c>
      <c r="F62" s="17">
        <v>42656</v>
      </c>
      <c r="G62" s="17">
        <v>42667</v>
      </c>
      <c r="H62" s="16" t="s">
        <v>105</v>
      </c>
      <c r="I62" s="16">
        <v>466.31</v>
      </c>
      <c r="J62" s="16">
        <v>84.09</v>
      </c>
      <c r="K62" s="18">
        <v>382.22</v>
      </c>
      <c r="L62" s="19">
        <f t="shared" si="2"/>
        <v>-11</v>
      </c>
      <c r="M62" s="20">
        <f t="shared" si="1"/>
        <v>-4204.42</v>
      </c>
    </row>
    <row r="63" spans="1:13" s="1" customFormat="1" ht="12.75">
      <c r="A63" s="15" t="s">
        <v>190</v>
      </c>
      <c r="B63" s="16">
        <v>1599</v>
      </c>
      <c r="C63" s="17">
        <v>42656</v>
      </c>
      <c r="D63" s="16" t="s">
        <v>36</v>
      </c>
      <c r="E63" s="17">
        <v>42646</v>
      </c>
      <c r="F63" s="17">
        <v>42656</v>
      </c>
      <c r="G63" s="17">
        <v>42667</v>
      </c>
      <c r="H63" s="16" t="s">
        <v>105</v>
      </c>
      <c r="I63" s="16">
        <v>26.55</v>
      </c>
      <c r="J63" s="16">
        <v>0</v>
      </c>
      <c r="K63" s="18">
        <v>26.55</v>
      </c>
      <c r="L63" s="19">
        <f t="shared" si="2"/>
        <v>-11</v>
      </c>
      <c r="M63" s="20">
        <f t="shared" si="1"/>
        <v>-292.05</v>
      </c>
    </row>
    <row r="64" spans="1:13" s="1" customFormat="1" ht="12.75">
      <c r="A64" s="15" t="s">
        <v>190</v>
      </c>
      <c r="B64" s="16">
        <v>1599</v>
      </c>
      <c r="C64" s="17">
        <v>42656</v>
      </c>
      <c r="D64" s="22" t="s">
        <v>36</v>
      </c>
      <c r="E64" s="17">
        <v>42646</v>
      </c>
      <c r="F64" s="17">
        <v>42656</v>
      </c>
      <c r="G64" s="17">
        <v>42667</v>
      </c>
      <c r="H64" s="16" t="s">
        <v>105</v>
      </c>
      <c r="I64" s="16">
        <v>6565.52</v>
      </c>
      <c r="J64" s="16">
        <v>1183.95</v>
      </c>
      <c r="K64" s="18">
        <v>5381.57</v>
      </c>
      <c r="L64" s="19">
        <f t="shared" si="2"/>
        <v>-11</v>
      </c>
      <c r="M64" s="20">
        <f t="shared" si="1"/>
        <v>-59197.27</v>
      </c>
    </row>
    <row r="65" spans="1:13" s="1" customFormat="1" ht="39">
      <c r="A65" s="15" t="s">
        <v>149</v>
      </c>
      <c r="B65" s="16">
        <v>1600</v>
      </c>
      <c r="C65" s="17">
        <v>42656</v>
      </c>
      <c r="D65" s="16" t="s">
        <v>151</v>
      </c>
      <c r="E65" s="17">
        <v>42633</v>
      </c>
      <c r="F65" s="17">
        <v>42656</v>
      </c>
      <c r="G65" s="17">
        <v>42695</v>
      </c>
      <c r="H65" s="16" t="s">
        <v>105</v>
      </c>
      <c r="I65" s="16">
        <v>1010.88</v>
      </c>
      <c r="J65" s="16">
        <v>38.88</v>
      </c>
      <c r="K65" s="18">
        <v>972</v>
      </c>
      <c r="L65" s="19">
        <f t="shared" si="2"/>
        <v>-39</v>
      </c>
      <c r="M65" s="20">
        <f t="shared" si="1"/>
        <v>-37908</v>
      </c>
    </row>
    <row r="66" spans="1:13" s="1" customFormat="1" ht="12.75">
      <c r="A66" s="15" t="s">
        <v>63</v>
      </c>
      <c r="B66" s="16">
        <v>1602</v>
      </c>
      <c r="C66" s="17">
        <v>42662</v>
      </c>
      <c r="D66" s="16" t="s">
        <v>64</v>
      </c>
      <c r="E66" s="17">
        <v>42642</v>
      </c>
      <c r="F66" s="17">
        <v>42662</v>
      </c>
      <c r="G66" s="17">
        <v>42677</v>
      </c>
      <c r="H66" s="16" t="s">
        <v>114</v>
      </c>
      <c r="I66" s="16">
        <v>24745.26</v>
      </c>
      <c r="J66" s="16">
        <v>4462.26</v>
      </c>
      <c r="K66" s="18">
        <v>20283</v>
      </c>
      <c r="L66" s="19">
        <f t="shared" si="2"/>
        <v>-15</v>
      </c>
      <c r="M66" s="20">
        <f t="shared" si="1"/>
        <v>-304245</v>
      </c>
    </row>
    <row r="67" spans="1:13" s="1" customFormat="1" ht="12.75">
      <c r="A67" s="15" t="s">
        <v>158</v>
      </c>
      <c r="B67" s="16">
        <v>1603</v>
      </c>
      <c r="C67" s="17">
        <v>42662</v>
      </c>
      <c r="D67" s="16" t="str">
        <f>"20160024"</f>
        <v>20160024</v>
      </c>
      <c r="E67" s="17">
        <v>42643</v>
      </c>
      <c r="F67" s="17">
        <v>42662</v>
      </c>
      <c r="G67" s="17">
        <v>42704</v>
      </c>
      <c r="H67" s="16" t="s">
        <v>105</v>
      </c>
      <c r="I67" s="21">
        <v>95507.5</v>
      </c>
      <c r="J67" s="16">
        <v>8682.5</v>
      </c>
      <c r="K67" s="18">
        <v>86825</v>
      </c>
      <c r="L67" s="19">
        <f aca="true" t="shared" si="3" ref="L67:L130">+F67-G67</f>
        <v>-42</v>
      </c>
      <c r="M67" s="20">
        <f aca="true" t="shared" si="4" ref="M67:M130">+L67*K67</f>
        <v>-3646650</v>
      </c>
    </row>
    <row r="68" spans="1:13" s="1" customFormat="1" ht="12.75">
      <c r="A68" s="15" t="s">
        <v>147</v>
      </c>
      <c r="B68" s="16">
        <v>1627</v>
      </c>
      <c r="C68" s="17">
        <v>42669</v>
      </c>
      <c r="D68" s="16" t="s">
        <v>148</v>
      </c>
      <c r="E68" s="17">
        <v>42643</v>
      </c>
      <c r="F68" s="17">
        <v>42669</v>
      </c>
      <c r="G68" s="17">
        <v>42704</v>
      </c>
      <c r="H68" s="16" t="s">
        <v>105</v>
      </c>
      <c r="I68" s="16">
        <v>6228.96</v>
      </c>
      <c r="J68" s="16">
        <v>0</v>
      </c>
      <c r="K68" s="18">
        <v>6228.96</v>
      </c>
      <c r="L68" s="19">
        <f t="shared" si="3"/>
        <v>-35</v>
      </c>
      <c r="M68" s="20">
        <f t="shared" si="4"/>
        <v>-218013.6</v>
      </c>
    </row>
    <row r="69" spans="1:13" s="1" customFormat="1" ht="26.25">
      <c r="A69" s="15" t="s">
        <v>209</v>
      </c>
      <c r="B69" s="16">
        <v>1628</v>
      </c>
      <c r="C69" s="17">
        <v>42669</v>
      </c>
      <c r="D69" s="16" t="s">
        <v>210</v>
      </c>
      <c r="E69" s="17">
        <v>42634</v>
      </c>
      <c r="F69" s="17">
        <v>42669</v>
      </c>
      <c r="G69" s="17">
        <v>42674</v>
      </c>
      <c r="H69" s="16" t="s">
        <v>105</v>
      </c>
      <c r="I69" s="16">
        <v>3744.99</v>
      </c>
      <c r="J69" s="16">
        <v>340.45</v>
      </c>
      <c r="K69" s="18">
        <v>3404.54</v>
      </c>
      <c r="L69" s="19">
        <f t="shared" si="3"/>
        <v>-5</v>
      </c>
      <c r="M69" s="20">
        <f t="shared" si="4"/>
        <v>-17022.7</v>
      </c>
    </row>
    <row r="70" spans="1:13" s="1" customFormat="1" ht="26.25">
      <c r="A70" s="15" t="s">
        <v>154</v>
      </c>
      <c r="B70" s="16">
        <v>1630</v>
      </c>
      <c r="C70" s="17">
        <v>42669</v>
      </c>
      <c r="D70" s="16" t="s">
        <v>163</v>
      </c>
      <c r="E70" s="17">
        <v>42643</v>
      </c>
      <c r="F70" s="17">
        <v>42669</v>
      </c>
      <c r="G70" s="17">
        <v>42715</v>
      </c>
      <c r="H70" s="16" t="s">
        <v>105</v>
      </c>
      <c r="I70" s="21">
        <v>4392.2</v>
      </c>
      <c r="J70" s="16">
        <v>399.29</v>
      </c>
      <c r="K70" s="18">
        <v>3992.91</v>
      </c>
      <c r="L70" s="19">
        <f t="shared" si="3"/>
        <v>-46</v>
      </c>
      <c r="M70" s="20">
        <f t="shared" si="4"/>
        <v>-183673.86</v>
      </c>
    </row>
    <row r="71" spans="1:13" s="1" customFormat="1" ht="12.75">
      <c r="A71" s="15" t="s">
        <v>202</v>
      </c>
      <c r="B71" s="16">
        <v>1638</v>
      </c>
      <c r="C71" s="17">
        <v>42669</v>
      </c>
      <c r="D71" s="16" t="s">
        <v>143</v>
      </c>
      <c r="E71" s="17">
        <v>42643</v>
      </c>
      <c r="F71" s="17">
        <v>42669</v>
      </c>
      <c r="G71" s="17">
        <v>42703</v>
      </c>
      <c r="H71" s="16" t="s">
        <v>105</v>
      </c>
      <c r="I71" s="16">
        <v>146.4</v>
      </c>
      <c r="J71" s="16">
        <v>26.4</v>
      </c>
      <c r="K71" s="18">
        <v>120</v>
      </c>
      <c r="L71" s="19">
        <f t="shared" si="3"/>
        <v>-34</v>
      </c>
      <c r="M71" s="20">
        <f t="shared" si="4"/>
        <v>-4080</v>
      </c>
    </row>
    <row r="72" spans="1:13" s="1" customFormat="1" ht="12.75">
      <c r="A72" s="15" t="s">
        <v>202</v>
      </c>
      <c r="B72" s="16">
        <v>1639</v>
      </c>
      <c r="C72" s="17">
        <v>42669</v>
      </c>
      <c r="D72" s="16" t="s">
        <v>146</v>
      </c>
      <c r="E72" s="17">
        <v>42643</v>
      </c>
      <c r="F72" s="17">
        <v>42669</v>
      </c>
      <c r="G72" s="17">
        <v>42704</v>
      </c>
      <c r="H72" s="16" t="s">
        <v>105</v>
      </c>
      <c r="I72" s="16">
        <v>91.26</v>
      </c>
      <c r="J72" s="16">
        <v>16.46</v>
      </c>
      <c r="K72" s="18">
        <v>74.8</v>
      </c>
      <c r="L72" s="19">
        <f t="shared" si="3"/>
        <v>-35</v>
      </c>
      <c r="M72" s="20">
        <f t="shared" si="4"/>
        <v>-2618</v>
      </c>
    </row>
    <row r="73" spans="1:13" s="1" customFormat="1" ht="12.75">
      <c r="A73" s="15" t="s">
        <v>1</v>
      </c>
      <c r="B73" s="16">
        <v>1640</v>
      </c>
      <c r="C73" s="17">
        <v>42669</v>
      </c>
      <c r="D73" s="16" t="str">
        <f>"0001102992"</f>
        <v>0001102992</v>
      </c>
      <c r="E73" s="17">
        <v>42633</v>
      </c>
      <c r="F73" s="17">
        <v>42669</v>
      </c>
      <c r="G73" s="17">
        <v>42691</v>
      </c>
      <c r="H73" s="16" t="s">
        <v>105</v>
      </c>
      <c r="I73" s="16">
        <v>296.85</v>
      </c>
      <c r="J73" s="16">
        <v>0</v>
      </c>
      <c r="K73" s="18">
        <v>296.85</v>
      </c>
      <c r="L73" s="19">
        <f t="shared" si="3"/>
        <v>-22</v>
      </c>
      <c r="M73" s="20">
        <f t="shared" si="4"/>
        <v>-6530.700000000001</v>
      </c>
    </row>
    <row r="74" spans="1:13" s="1" customFormat="1" ht="26.25">
      <c r="A74" s="15" t="s">
        <v>135</v>
      </c>
      <c r="B74" s="16">
        <v>1642</v>
      </c>
      <c r="C74" s="17">
        <v>42669</v>
      </c>
      <c r="D74" s="16" t="s">
        <v>144</v>
      </c>
      <c r="E74" s="17">
        <v>42643</v>
      </c>
      <c r="F74" s="17">
        <v>42669</v>
      </c>
      <c r="G74" s="17">
        <v>42703</v>
      </c>
      <c r="H74" s="16" t="s">
        <v>105</v>
      </c>
      <c r="I74" s="16">
        <v>4733.02</v>
      </c>
      <c r="J74" s="16">
        <v>225.38</v>
      </c>
      <c r="K74" s="18">
        <v>4507.64</v>
      </c>
      <c r="L74" s="19">
        <f t="shared" si="3"/>
        <v>-34</v>
      </c>
      <c r="M74" s="20">
        <f t="shared" si="4"/>
        <v>-153259.76</v>
      </c>
    </row>
    <row r="75" spans="1:13" s="1" customFormat="1" ht="12.75">
      <c r="A75" s="15" t="s">
        <v>20</v>
      </c>
      <c r="B75" s="16">
        <v>1643</v>
      </c>
      <c r="C75" s="17">
        <v>42669</v>
      </c>
      <c r="D75" s="16" t="s">
        <v>22</v>
      </c>
      <c r="E75" s="17">
        <v>42660</v>
      </c>
      <c r="F75" s="17">
        <v>42669</v>
      </c>
      <c r="G75" s="17">
        <v>42693</v>
      </c>
      <c r="H75" s="16" t="s">
        <v>105</v>
      </c>
      <c r="I75" s="21">
        <v>54.19</v>
      </c>
      <c r="J75" s="16">
        <v>0</v>
      </c>
      <c r="K75" s="18">
        <v>54.19</v>
      </c>
      <c r="L75" s="19">
        <f t="shared" si="3"/>
        <v>-24</v>
      </c>
      <c r="M75" s="20">
        <f t="shared" si="4"/>
        <v>-1300.56</v>
      </c>
    </row>
    <row r="76" spans="1:13" s="1" customFormat="1" ht="12.75">
      <c r="A76" s="15" t="s">
        <v>162</v>
      </c>
      <c r="B76" s="16">
        <v>1645</v>
      </c>
      <c r="C76" s="17">
        <v>42669</v>
      </c>
      <c r="D76" s="16" t="str">
        <f>"0000020921"</f>
        <v>0000020921</v>
      </c>
      <c r="E76" s="17">
        <v>42654</v>
      </c>
      <c r="F76" s="17">
        <v>42669</v>
      </c>
      <c r="G76" s="17">
        <v>42714</v>
      </c>
      <c r="H76" s="16" t="s">
        <v>105</v>
      </c>
      <c r="I76" s="16">
        <v>69.81</v>
      </c>
      <c r="J76" s="16">
        <v>12.59</v>
      </c>
      <c r="K76" s="18">
        <v>57.22</v>
      </c>
      <c r="L76" s="19">
        <f t="shared" si="3"/>
        <v>-45</v>
      </c>
      <c r="M76" s="20">
        <f t="shared" si="4"/>
        <v>-2574.9</v>
      </c>
    </row>
    <row r="77" spans="1:13" s="1" customFormat="1" ht="12.75">
      <c r="A77" s="15" t="s">
        <v>162</v>
      </c>
      <c r="B77" s="16">
        <v>1646</v>
      </c>
      <c r="C77" s="17">
        <v>42669</v>
      </c>
      <c r="D77" s="16" t="str">
        <f>"0000020920"</f>
        <v>0000020920</v>
      </c>
      <c r="E77" s="17">
        <v>42654</v>
      </c>
      <c r="F77" s="17">
        <v>42669</v>
      </c>
      <c r="G77" s="17">
        <v>42714</v>
      </c>
      <c r="H77" s="16" t="s">
        <v>105</v>
      </c>
      <c r="I77" s="21">
        <v>63.98</v>
      </c>
      <c r="J77" s="16">
        <v>11.54</v>
      </c>
      <c r="K77" s="18">
        <v>52.44</v>
      </c>
      <c r="L77" s="19">
        <f t="shared" si="3"/>
        <v>-45</v>
      </c>
      <c r="M77" s="20">
        <f t="shared" si="4"/>
        <v>-2359.7999999999997</v>
      </c>
    </row>
    <row r="78" spans="1:13" s="1" customFormat="1" ht="12.75">
      <c r="A78" s="15" t="s">
        <v>133</v>
      </c>
      <c r="B78" s="16">
        <v>1647</v>
      </c>
      <c r="C78" s="17">
        <v>42669</v>
      </c>
      <c r="D78" s="16" t="s">
        <v>145</v>
      </c>
      <c r="E78" s="17">
        <v>42643</v>
      </c>
      <c r="F78" s="17">
        <v>42669</v>
      </c>
      <c r="G78" s="17">
        <v>42704</v>
      </c>
      <c r="H78" s="16" t="s">
        <v>105</v>
      </c>
      <c r="I78" s="16">
        <v>10223.8</v>
      </c>
      <c r="J78" s="16">
        <v>393.22</v>
      </c>
      <c r="K78" s="18">
        <v>9830.58</v>
      </c>
      <c r="L78" s="19">
        <f t="shared" si="3"/>
        <v>-35</v>
      </c>
      <c r="M78" s="20">
        <f t="shared" si="4"/>
        <v>-344070.3</v>
      </c>
    </row>
    <row r="79" spans="1:13" s="1" customFormat="1" ht="12.75">
      <c r="A79" s="15" t="s">
        <v>208</v>
      </c>
      <c r="B79" s="16">
        <v>1648</v>
      </c>
      <c r="C79" s="17">
        <v>42669</v>
      </c>
      <c r="D79" s="16" t="str">
        <f>"41603397917"</f>
        <v>41603397917</v>
      </c>
      <c r="E79" s="17">
        <v>42664</v>
      </c>
      <c r="F79" s="17">
        <v>42669</v>
      </c>
      <c r="G79" s="17">
        <v>42684</v>
      </c>
      <c r="H79" s="16" t="s">
        <v>105</v>
      </c>
      <c r="I79" s="16">
        <v>106.26</v>
      </c>
      <c r="J79" s="16">
        <v>19.16</v>
      </c>
      <c r="K79" s="18">
        <v>87.1</v>
      </c>
      <c r="L79" s="19">
        <f t="shared" si="3"/>
        <v>-15</v>
      </c>
      <c r="M79" s="20">
        <f t="shared" si="4"/>
        <v>-1306.5</v>
      </c>
    </row>
    <row r="80" spans="1:13" s="1" customFormat="1" ht="12.75">
      <c r="A80" s="15" t="s">
        <v>208</v>
      </c>
      <c r="B80" s="16">
        <v>1649</v>
      </c>
      <c r="C80" s="17">
        <v>42669</v>
      </c>
      <c r="D80" s="16" t="str">
        <f>"41603397912"</f>
        <v>41603397912</v>
      </c>
      <c r="E80" s="17">
        <v>42664</v>
      </c>
      <c r="F80" s="17">
        <v>42669</v>
      </c>
      <c r="G80" s="17">
        <v>42684</v>
      </c>
      <c r="H80" s="16" t="s">
        <v>105</v>
      </c>
      <c r="I80" s="16">
        <v>79.59</v>
      </c>
      <c r="J80" s="16">
        <v>14.35</v>
      </c>
      <c r="K80" s="18">
        <v>65.24</v>
      </c>
      <c r="L80" s="19">
        <f t="shared" si="3"/>
        <v>-15</v>
      </c>
      <c r="M80" s="20">
        <f t="shared" si="4"/>
        <v>-978.5999999999999</v>
      </c>
    </row>
    <row r="81" spans="1:13" s="1" customFormat="1" ht="12.75">
      <c r="A81" s="15" t="s">
        <v>208</v>
      </c>
      <c r="B81" s="16">
        <v>1650</v>
      </c>
      <c r="C81" s="17">
        <v>42669</v>
      </c>
      <c r="D81" s="16" t="str">
        <f>"41603397916"</f>
        <v>41603397916</v>
      </c>
      <c r="E81" s="17">
        <v>42664</v>
      </c>
      <c r="F81" s="17">
        <v>42669</v>
      </c>
      <c r="G81" s="17">
        <v>42684</v>
      </c>
      <c r="H81" s="16" t="s">
        <v>105</v>
      </c>
      <c r="I81" s="16">
        <v>323.35</v>
      </c>
      <c r="J81" s="16">
        <v>58.31</v>
      </c>
      <c r="K81" s="18">
        <v>265.04</v>
      </c>
      <c r="L81" s="19">
        <f t="shared" si="3"/>
        <v>-15</v>
      </c>
      <c r="M81" s="20">
        <f t="shared" si="4"/>
        <v>-3975.6000000000004</v>
      </c>
    </row>
    <row r="82" spans="1:13" s="1" customFormat="1" ht="12.75">
      <c r="A82" s="15" t="s">
        <v>208</v>
      </c>
      <c r="B82" s="16">
        <v>1651</v>
      </c>
      <c r="C82" s="17">
        <v>42669</v>
      </c>
      <c r="D82" s="16" t="str">
        <f>"41603397921"</f>
        <v>41603397921</v>
      </c>
      <c r="E82" s="17">
        <v>42664</v>
      </c>
      <c r="F82" s="17">
        <v>42669</v>
      </c>
      <c r="G82" s="17">
        <v>42684</v>
      </c>
      <c r="H82" s="16" t="s">
        <v>105</v>
      </c>
      <c r="I82" s="16">
        <v>16.62</v>
      </c>
      <c r="J82" s="16">
        <v>2.4</v>
      </c>
      <c r="K82" s="18">
        <v>14.22</v>
      </c>
      <c r="L82" s="19">
        <f t="shared" si="3"/>
        <v>-15</v>
      </c>
      <c r="M82" s="20">
        <f t="shared" si="4"/>
        <v>-213.3</v>
      </c>
    </row>
    <row r="83" spans="1:13" s="1" customFormat="1" ht="12.75">
      <c r="A83" s="15" t="s">
        <v>208</v>
      </c>
      <c r="B83" s="16">
        <v>1652</v>
      </c>
      <c r="C83" s="17">
        <v>42669</v>
      </c>
      <c r="D83" s="16" t="str">
        <f>"41603397913"</f>
        <v>41603397913</v>
      </c>
      <c r="E83" s="17">
        <v>42664</v>
      </c>
      <c r="F83" s="17">
        <v>42669</v>
      </c>
      <c r="G83" s="17">
        <v>42684</v>
      </c>
      <c r="H83" s="16" t="s">
        <v>105</v>
      </c>
      <c r="I83" s="16">
        <v>35.79</v>
      </c>
      <c r="J83" s="16">
        <v>6.45</v>
      </c>
      <c r="K83" s="18">
        <v>29.34</v>
      </c>
      <c r="L83" s="19">
        <f t="shared" si="3"/>
        <v>-15</v>
      </c>
      <c r="M83" s="20">
        <f t="shared" si="4"/>
        <v>-440.1</v>
      </c>
    </row>
    <row r="84" spans="1:13" s="1" customFormat="1" ht="12.75">
      <c r="A84" s="15" t="s">
        <v>208</v>
      </c>
      <c r="B84" s="16">
        <v>1653</v>
      </c>
      <c r="C84" s="17">
        <v>42669</v>
      </c>
      <c r="D84" s="16" t="str">
        <f>"41603397911"</f>
        <v>41603397911</v>
      </c>
      <c r="E84" s="17">
        <v>42664</v>
      </c>
      <c r="F84" s="17">
        <v>42669</v>
      </c>
      <c r="G84" s="17">
        <v>42684</v>
      </c>
      <c r="H84" s="16" t="s">
        <v>105</v>
      </c>
      <c r="I84" s="16">
        <v>35.79</v>
      </c>
      <c r="J84" s="16">
        <v>6.45</v>
      </c>
      <c r="K84" s="18">
        <v>29.34</v>
      </c>
      <c r="L84" s="19">
        <f t="shared" si="3"/>
        <v>-15</v>
      </c>
      <c r="M84" s="20">
        <f t="shared" si="4"/>
        <v>-440.1</v>
      </c>
    </row>
    <row r="85" spans="1:13" s="1" customFormat="1" ht="12.75">
      <c r="A85" s="15" t="s">
        <v>208</v>
      </c>
      <c r="B85" s="16">
        <v>1654</v>
      </c>
      <c r="C85" s="17">
        <v>42669</v>
      </c>
      <c r="D85" s="16" t="str">
        <f>"41603397910"</f>
        <v>41603397910</v>
      </c>
      <c r="E85" s="17">
        <v>42664</v>
      </c>
      <c r="F85" s="17">
        <v>42669</v>
      </c>
      <c r="G85" s="17">
        <v>42684</v>
      </c>
      <c r="H85" s="16" t="s">
        <v>105</v>
      </c>
      <c r="I85" s="16">
        <v>9.98</v>
      </c>
      <c r="J85" s="16">
        <v>1.8</v>
      </c>
      <c r="K85" s="18">
        <v>8.18</v>
      </c>
      <c r="L85" s="19">
        <f t="shared" si="3"/>
        <v>-15</v>
      </c>
      <c r="M85" s="20">
        <f t="shared" si="4"/>
        <v>-122.69999999999999</v>
      </c>
    </row>
    <row r="86" spans="1:13" s="1" customFormat="1" ht="26.25">
      <c r="A86" s="15" t="s">
        <v>73</v>
      </c>
      <c r="B86" s="16">
        <v>1655</v>
      </c>
      <c r="C86" s="17">
        <v>42669</v>
      </c>
      <c r="D86" s="16" t="s">
        <v>189</v>
      </c>
      <c r="E86" s="17">
        <v>42627</v>
      </c>
      <c r="F86" s="17">
        <v>42669</v>
      </c>
      <c r="G86" s="17">
        <v>42687</v>
      </c>
      <c r="H86" s="16" t="s">
        <v>105</v>
      </c>
      <c r="I86" s="16">
        <v>2469.89</v>
      </c>
      <c r="J86" s="16">
        <v>445.39</v>
      </c>
      <c r="K86" s="18">
        <v>2024.5</v>
      </c>
      <c r="L86" s="19">
        <f t="shared" si="3"/>
        <v>-18</v>
      </c>
      <c r="M86" s="20">
        <f t="shared" si="4"/>
        <v>-36441</v>
      </c>
    </row>
    <row r="87" spans="1:13" s="1" customFormat="1" ht="12.75">
      <c r="A87" s="15" t="s">
        <v>208</v>
      </c>
      <c r="B87" s="16">
        <v>1656</v>
      </c>
      <c r="C87" s="17">
        <v>42669</v>
      </c>
      <c r="D87" s="16" t="str">
        <f>"41603397914"</f>
        <v>41603397914</v>
      </c>
      <c r="E87" s="17">
        <v>42664</v>
      </c>
      <c r="F87" s="17">
        <v>42669</v>
      </c>
      <c r="G87" s="17">
        <v>42684</v>
      </c>
      <c r="H87" s="16" t="s">
        <v>105</v>
      </c>
      <c r="I87" s="16">
        <v>97.16</v>
      </c>
      <c r="J87" s="16">
        <v>17.52</v>
      </c>
      <c r="K87" s="18">
        <v>79.64</v>
      </c>
      <c r="L87" s="19">
        <f t="shared" si="3"/>
        <v>-15</v>
      </c>
      <c r="M87" s="20">
        <f t="shared" si="4"/>
        <v>-1194.6</v>
      </c>
    </row>
    <row r="88" spans="1:13" s="1" customFormat="1" ht="12.75">
      <c r="A88" s="15" t="s">
        <v>208</v>
      </c>
      <c r="B88" s="16">
        <v>1657</v>
      </c>
      <c r="C88" s="17">
        <v>42669</v>
      </c>
      <c r="D88" s="16" t="str">
        <f>"41603397918"</f>
        <v>41603397918</v>
      </c>
      <c r="E88" s="17">
        <v>42664</v>
      </c>
      <c r="F88" s="17">
        <v>42669</v>
      </c>
      <c r="G88" s="17">
        <v>42684</v>
      </c>
      <c r="H88" s="16" t="s">
        <v>105</v>
      </c>
      <c r="I88" s="16">
        <v>149.18</v>
      </c>
      <c r="J88" s="16">
        <v>26.9</v>
      </c>
      <c r="K88" s="18">
        <v>122.28</v>
      </c>
      <c r="L88" s="19">
        <f t="shared" si="3"/>
        <v>-15</v>
      </c>
      <c r="M88" s="20">
        <f t="shared" si="4"/>
        <v>-1834.2</v>
      </c>
    </row>
    <row r="89" spans="1:13" s="1" customFormat="1" ht="12.75">
      <c r="A89" s="15" t="s">
        <v>208</v>
      </c>
      <c r="B89" s="16">
        <v>1658</v>
      </c>
      <c r="C89" s="17">
        <v>42669</v>
      </c>
      <c r="D89" s="16" t="str">
        <f>"41603397919"</f>
        <v>41603397919</v>
      </c>
      <c r="E89" s="17">
        <v>42664</v>
      </c>
      <c r="F89" s="17">
        <v>42669</v>
      </c>
      <c r="G89" s="17">
        <v>42684</v>
      </c>
      <c r="H89" s="16" t="s">
        <v>105</v>
      </c>
      <c r="I89" s="16">
        <v>131.71</v>
      </c>
      <c r="J89" s="16">
        <v>23.75</v>
      </c>
      <c r="K89" s="18">
        <v>107.96</v>
      </c>
      <c r="L89" s="19">
        <f t="shared" si="3"/>
        <v>-15</v>
      </c>
      <c r="M89" s="20">
        <f t="shared" si="4"/>
        <v>-1619.3999999999999</v>
      </c>
    </row>
    <row r="90" spans="1:13" s="1" customFormat="1" ht="39">
      <c r="A90" s="15" t="s">
        <v>149</v>
      </c>
      <c r="B90" s="16">
        <v>1661</v>
      </c>
      <c r="C90" s="17">
        <v>42676</v>
      </c>
      <c r="D90" s="16" t="s">
        <v>150</v>
      </c>
      <c r="E90" s="17">
        <v>42658</v>
      </c>
      <c r="F90" s="17">
        <v>42682</v>
      </c>
      <c r="G90" s="17">
        <v>42719</v>
      </c>
      <c r="H90" s="16" t="s">
        <v>105</v>
      </c>
      <c r="I90" s="16">
        <v>907.92</v>
      </c>
      <c r="J90" s="16">
        <v>34.92</v>
      </c>
      <c r="K90" s="18">
        <v>873</v>
      </c>
      <c r="L90" s="19">
        <f t="shared" si="3"/>
        <v>-37</v>
      </c>
      <c r="M90" s="20">
        <f t="shared" si="4"/>
        <v>-32301</v>
      </c>
    </row>
    <row r="91" spans="1:13" s="1" customFormat="1" ht="12.75">
      <c r="A91" s="15" t="s">
        <v>71</v>
      </c>
      <c r="B91" s="16">
        <v>1662</v>
      </c>
      <c r="C91" s="17">
        <v>42676</v>
      </c>
      <c r="D91" s="16" t="s">
        <v>72</v>
      </c>
      <c r="E91" s="17">
        <v>42669</v>
      </c>
      <c r="F91" s="17">
        <v>42682</v>
      </c>
      <c r="G91" s="17">
        <v>42699</v>
      </c>
      <c r="H91" s="16" t="s">
        <v>114</v>
      </c>
      <c r="I91" s="16">
        <v>2000</v>
      </c>
      <c r="J91" s="16">
        <v>0</v>
      </c>
      <c r="K91" s="18">
        <v>2000</v>
      </c>
      <c r="L91" s="19">
        <f t="shared" si="3"/>
        <v>-17</v>
      </c>
      <c r="M91" s="20">
        <f t="shared" si="4"/>
        <v>-34000</v>
      </c>
    </row>
    <row r="92" spans="1:13" s="1" customFormat="1" ht="26.25">
      <c r="A92" s="15" t="s">
        <v>172</v>
      </c>
      <c r="B92" s="16">
        <v>1663</v>
      </c>
      <c r="C92" s="17">
        <v>42676</v>
      </c>
      <c r="D92" s="16" t="str">
        <f>"1010382399"</f>
        <v>1010382399</v>
      </c>
      <c r="E92" s="17">
        <v>42670</v>
      </c>
      <c r="F92" s="17">
        <v>42682</v>
      </c>
      <c r="G92" s="17">
        <v>42735</v>
      </c>
      <c r="H92" s="16" t="s">
        <v>105</v>
      </c>
      <c r="I92" s="21">
        <v>532.09</v>
      </c>
      <c r="J92" s="16">
        <v>95.95</v>
      </c>
      <c r="K92" s="18">
        <v>436.14</v>
      </c>
      <c r="L92" s="19">
        <f t="shared" si="3"/>
        <v>-53</v>
      </c>
      <c r="M92" s="20">
        <f t="shared" si="4"/>
        <v>-23115.42</v>
      </c>
    </row>
    <row r="93" spans="1:13" s="1" customFormat="1" ht="12.75">
      <c r="A93" s="15" t="s">
        <v>77</v>
      </c>
      <c r="B93" s="16">
        <v>1666</v>
      </c>
      <c r="C93" s="17">
        <v>42677</v>
      </c>
      <c r="D93" s="16" t="s">
        <v>78</v>
      </c>
      <c r="E93" s="17">
        <v>42670</v>
      </c>
      <c r="F93" s="17">
        <v>42682</v>
      </c>
      <c r="G93" s="17">
        <v>42701</v>
      </c>
      <c r="H93" s="16" t="s">
        <v>105</v>
      </c>
      <c r="I93" s="16">
        <v>45.01</v>
      </c>
      <c r="J93" s="16">
        <v>8.12</v>
      </c>
      <c r="K93" s="18">
        <v>36.89</v>
      </c>
      <c r="L93" s="19">
        <f t="shared" si="3"/>
        <v>-19</v>
      </c>
      <c r="M93" s="20">
        <f t="shared" si="4"/>
        <v>-700.91</v>
      </c>
    </row>
    <row r="94" spans="1:13" s="1" customFormat="1" ht="12.75">
      <c r="A94" s="15" t="s">
        <v>103</v>
      </c>
      <c r="B94" s="16">
        <v>1667</v>
      </c>
      <c r="C94" s="17">
        <v>42678</v>
      </c>
      <c r="D94" s="16" t="s">
        <v>179</v>
      </c>
      <c r="E94" s="17">
        <v>42649</v>
      </c>
      <c r="F94" s="17">
        <v>42682</v>
      </c>
      <c r="G94" s="17">
        <v>42752</v>
      </c>
      <c r="H94" s="16" t="s">
        <v>105</v>
      </c>
      <c r="I94" s="21">
        <v>61.13</v>
      </c>
      <c r="J94" s="16">
        <v>11.02</v>
      </c>
      <c r="K94" s="18">
        <v>50.11</v>
      </c>
      <c r="L94" s="19">
        <f t="shared" si="3"/>
        <v>-70</v>
      </c>
      <c r="M94" s="20">
        <f t="shared" si="4"/>
        <v>-3507.7</v>
      </c>
    </row>
    <row r="95" spans="1:13" s="1" customFormat="1" ht="12.75">
      <c r="A95" s="15" t="s">
        <v>103</v>
      </c>
      <c r="B95" s="16">
        <v>1667</v>
      </c>
      <c r="C95" s="17">
        <v>42678</v>
      </c>
      <c r="D95" s="16" t="s">
        <v>181</v>
      </c>
      <c r="E95" s="17">
        <v>42649</v>
      </c>
      <c r="F95" s="17">
        <v>42682</v>
      </c>
      <c r="G95" s="17">
        <v>42752</v>
      </c>
      <c r="H95" s="16" t="s">
        <v>105</v>
      </c>
      <c r="I95" s="16">
        <v>155.98</v>
      </c>
      <c r="J95" s="16">
        <v>28.13</v>
      </c>
      <c r="K95" s="18">
        <v>127.85</v>
      </c>
      <c r="L95" s="19">
        <f t="shared" si="3"/>
        <v>-70</v>
      </c>
      <c r="M95" s="20">
        <f t="shared" si="4"/>
        <v>-8949.5</v>
      </c>
    </row>
    <row r="96" spans="1:13" s="1" customFormat="1" ht="12.75">
      <c r="A96" s="15" t="s">
        <v>103</v>
      </c>
      <c r="B96" s="16">
        <v>1667</v>
      </c>
      <c r="C96" s="17">
        <v>42678</v>
      </c>
      <c r="D96" s="16" t="s">
        <v>184</v>
      </c>
      <c r="E96" s="17">
        <v>42649</v>
      </c>
      <c r="F96" s="17">
        <v>42682</v>
      </c>
      <c r="G96" s="17">
        <v>42752</v>
      </c>
      <c r="H96" s="16" t="s">
        <v>105</v>
      </c>
      <c r="I96" s="16">
        <v>61.72</v>
      </c>
      <c r="J96" s="16">
        <v>11.13</v>
      </c>
      <c r="K96" s="18">
        <v>50.59</v>
      </c>
      <c r="L96" s="19">
        <f t="shared" si="3"/>
        <v>-70</v>
      </c>
      <c r="M96" s="20">
        <f t="shared" si="4"/>
        <v>-3541.3</v>
      </c>
    </row>
    <row r="97" spans="1:13" s="1" customFormat="1" ht="12.75">
      <c r="A97" s="15" t="s">
        <v>103</v>
      </c>
      <c r="B97" s="16">
        <v>1668</v>
      </c>
      <c r="C97" s="17">
        <v>42678</v>
      </c>
      <c r="D97" s="16" t="s">
        <v>182</v>
      </c>
      <c r="E97" s="17">
        <v>42649</v>
      </c>
      <c r="F97" s="17">
        <v>42682</v>
      </c>
      <c r="G97" s="17">
        <v>42752</v>
      </c>
      <c r="H97" s="16" t="s">
        <v>105</v>
      </c>
      <c r="I97" s="21">
        <v>72.39</v>
      </c>
      <c r="J97" s="16">
        <v>13.05</v>
      </c>
      <c r="K97" s="18">
        <v>59.34</v>
      </c>
      <c r="L97" s="19">
        <f t="shared" si="3"/>
        <v>-70</v>
      </c>
      <c r="M97" s="20">
        <f t="shared" si="4"/>
        <v>-4153.8</v>
      </c>
    </row>
    <row r="98" spans="1:13" s="1" customFormat="1" ht="12.75">
      <c r="A98" s="15" t="s">
        <v>103</v>
      </c>
      <c r="B98" s="16">
        <v>1669</v>
      </c>
      <c r="C98" s="17">
        <v>42678</v>
      </c>
      <c r="D98" s="16" t="s">
        <v>183</v>
      </c>
      <c r="E98" s="17">
        <v>42649</v>
      </c>
      <c r="F98" s="17">
        <v>42682</v>
      </c>
      <c r="G98" s="17">
        <v>42752</v>
      </c>
      <c r="H98" s="16" t="s">
        <v>105</v>
      </c>
      <c r="I98" s="16">
        <v>131.89</v>
      </c>
      <c r="J98" s="16">
        <v>23.78</v>
      </c>
      <c r="K98" s="18">
        <v>108.11</v>
      </c>
      <c r="L98" s="19">
        <f t="shared" si="3"/>
        <v>-70</v>
      </c>
      <c r="M98" s="20">
        <f t="shared" si="4"/>
        <v>-7567.7</v>
      </c>
    </row>
    <row r="99" spans="1:13" s="1" customFormat="1" ht="12.75">
      <c r="A99" s="15" t="s">
        <v>103</v>
      </c>
      <c r="B99" s="16">
        <v>1670</v>
      </c>
      <c r="C99" s="17">
        <v>42678</v>
      </c>
      <c r="D99" s="16" t="s">
        <v>180</v>
      </c>
      <c r="E99" s="17">
        <v>42649</v>
      </c>
      <c r="F99" s="17">
        <v>42682</v>
      </c>
      <c r="G99" s="17">
        <v>42752</v>
      </c>
      <c r="H99" s="16" t="s">
        <v>105</v>
      </c>
      <c r="I99" s="16">
        <v>135.47</v>
      </c>
      <c r="J99" s="16">
        <v>24.43</v>
      </c>
      <c r="K99" s="18">
        <v>111.04</v>
      </c>
      <c r="L99" s="19">
        <f t="shared" si="3"/>
        <v>-70</v>
      </c>
      <c r="M99" s="20">
        <f t="shared" si="4"/>
        <v>-7772.8</v>
      </c>
    </row>
    <row r="100" spans="1:13" s="1" customFormat="1" ht="12.75">
      <c r="A100" s="15" t="s">
        <v>103</v>
      </c>
      <c r="B100" s="16">
        <v>1671</v>
      </c>
      <c r="C100" s="17">
        <v>42678</v>
      </c>
      <c r="D100" s="16" t="s">
        <v>185</v>
      </c>
      <c r="E100" s="17">
        <v>42649</v>
      </c>
      <c r="F100" s="17">
        <v>42682</v>
      </c>
      <c r="G100" s="17">
        <v>42752</v>
      </c>
      <c r="H100" s="16" t="s">
        <v>105</v>
      </c>
      <c r="I100" s="16">
        <v>66.75</v>
      </c>
      <c r="J100" s="16">
        <v>12.04</v>
      </c>
      <c r="K100" s="18">
        <v>54.71</v>
      </c>
      <c r="L100" s="19">
        <f t="shared" si="3"/>
        <v>-70</v>
      </c>
      <c r="M100" s="20">
        <f t="shared" si="4"/>
        <v>-3829.7000000000003</v>
      </c>
    </row>
    <row r="101" spans="1:13" s="1" customFormat="1" ht="12.75">
      <c r="A101" s="15" t="s">
        <v>5</v>
      </c>
      <c r="B101" s="16">
        <v>1672</v>
      </c>
      <c r="C101" s="17">
        <v>42679</v>
      </c>
      <c r="D101" s="16" t="s">
        <v>211</v>
      </c>
      <c r="E101" s="17">
        <v>42657</v>
      </c>
      <c r="F101" s="17">
        <v>42682</v>
      </c>
      <c r="G101" s="17">
        <v>42687</v>
      </c>
      <c r="H101" s="16" t="s">
        <v>105</v>
      </c>
      <c r="I101" s="16">
        <v>511.18</v>
      </c>
      <c r="J101" s="16">
        <v>92.18</v>
      </c>
      <c r="K101" s="18">
        <v>419</v>
      </c>
      <c r="L101" s="19">
        <f t="shared" si="3"/>
        <v>-5</v>
      </c>
      <c r="M101" s="20">
        <f t="shared" si="4"/>
        <v>-2095</v>
      </c>
    </row>
    <row r="102" spans="1:13" s="1" customFormat="1" ht="12.75">
      <c r="A102" s="15" t="s">
        <v>190</v>
      </c>
      <c r="B102" s="16">
        <v>1753</v>
      </c>
      <c r="C102" s="17">
        <v>42689</v>
      </c>
      <c r="D102" s="16" t="s">
        <v>197</v>
      </c>
      <c r="E102" s="17">
        <v>42676</v>
      </c>
      <c r="F102" s="17">
        <v>42695</v>
      </c>
      <c r="G102" s="17">
        <v>42696</v>
      </c>
      <c r="H102" s="16" t="s">
        <v>105</v>
      </c>
      <c r="I102" s="16">
        <v>786.63</v>
      </c>
      <c r="J102" s="16">
        <v>141.85</v>
      </c>
      <c r="K102" s="18">
        <v>644.78</v>
      </c>
      <c r="L102" s="19">
        <f t="shared" si="3"/>
        <v>-1</v>
      </c>
      <c r="M102" s="20">
        <f t="shared" si="4"/>
        <v>-644.78</v>
      </c>
    </row>
    <row r="103" spans="1:13" s="1" customFormat="1" ht="12.75">
      <c r="A103" s="15" t="s">
        <v>190</v>
      </c>
      <c r="B103" s="16">
        <v>1754</v>
      </c>
      <c r="C103" s="17">
        <v>42689</v>
      </c>
      <c r="D103" s="22" t="s">
        <v>192</v>
      </c>
      <c r="E103" s="17">
        <v>42676</v>
      </c>
      <c r="F103" s="17">
        <v>42695</v>
      </c>
      <c r="G103" s="17">
        <v>42696</v>
      </c>
      <c r="H103" s="16" t="s">
        <v>105</v>
      </c>
      <c r="I103" s="16">
        <v>320.53</v>
      </c>
      <c r="J103" s="16">
        <v>57.8</v>
      </c>
      <c r="K103" s="18">
        <v>262.73</v>
      </c>
      <c r="L103" s="19">
        <f t="shared" si="3"/>
        <v>-1</v>
      </c>
      <c r="M103" s="20">
        <f t="shared" si="4"/>
        <v>-262.73</v>
      </c>
    </row>
    <row r="104" spans="1:13" s="1" customFormat="1" ht="12.75">
      <c r="A104" s="15" t="s">
        <v>190</v>
      </c>
      <c r="B104" s="16">
        <v>1755</v>
      </c>
      <c r="C104" s="17">
        <v>42689</v>
      </c>
      <c r="D104" s="16" t="s">
        <v>199</v>
      </c>
      <c r="E104" s="17">
        <v>42676</v>
      </c>
      <c r="F104" s="17">
        <v>42695</v>
      </c>
      <c r="G104" s="17">
        <v>42696</v>
      </c>
      <c r="H104" s="16" t="s">
        <v>105</v>
      </c>
      <c r="I104" s="16">
        <v>655.81</v>
      </c>
      <c r="J104" s="16">
        <v>118.26</v>
      </c>
      <c r="K104" s="18">
        <v>537.55</v>
      </c>
      <c r="L104" s="19">
        <f t="shared" si="3"/>
        <v>-1</v>
      </c>
      <c r="M104" s="20">
        <f t="shared" si="4"/>
        <v>-537.55</v>
      </c>
    </row>
    <row r="105" spans="1:13" s="1" customFormat="1" ht="12.75">
      <c r="A105" s="15" t="s">
        <v>190</v>
      </c>
      <c r="B105" s="16">
        <v>1756</v>
      </c>
      <c r="C105" s="17">
        <v>42689</v>
      </c>
      <c r="D105" s="16" t="s">
        <v>198</v>
      </c>
      <c r="E105" s="17">
        <v>42676</v>
      </c>
      <c r="F105" s="17">
        <v>42695</v>
      </c>
      <c r="G105" s="17">
        <v>42696</v>
      </c>
      <c r="H105" s="16" t="s">
        <v>105</v>
      </c>
      <c r="I105" s="16">
        <v>1325.8</v>
      </c>
      <c r="J105" s="16">
        <v>239.08</v>
      </c>
      <c r="K105" s="18">
        <v>1086.72</v>
      </c>
      <c r="L105" s="19">
        <f t="shared" si="3"/>
        <v>-1</v>
      </c>
      <c r="M105" s="20">
        <f t="shared" si="4"/>
        <v>-1086.72</v>
      </c>
    </row>
    <row r="106" spans="1:13" s="1" customFormat="1" ht="12.75">
      <c r="A106" s="15" t="s">
        <v>190</v>
      </c>
      <c r="B106" s="16">
        <v>1757</v>
      </c>
      <c r="C106" s="17">
        <v>42689</v>
      </c>
      <c r="D106" s="16" t="s">
        <v>194</v>
      </c>
      <c r="E106" s="17">
        <v>42676</v>
      </c>
      <c r="F106" s="17">
        <v>42695</v>
      </c>
      <c r="G106" s="17">
        <v>42696</v>
      </c>
      <c r="H106" s="16" t="s">
        <v>105</v>
      </c>
      <c r="I106" s="21">
        <v>203.84</v>
      </c>
      <c r="J106" s="16">
        <v>36.76</v>
      </c>
      <c r="K106" s="18">
        <v>167.08</v>
      </c>
      <c r="L106" s="19">
        <f t="shared" si="3"/>
        <v>-1</v>
      </c>
      <c r="M106" s="20">
        <f t="shared" si="4"/>
        <v>-167.08</v>
      </c>
    </row>
    <row r="107" spans="1:13" s="1" customFormat="1" ht="12.75">
      <c r="A107" s="15" t="s">
        <v>190</v>
      </c>
      <c r="B107" s="16">
        <v>1758</v>
      </c>
      <c r="C107" s="17">
        <v>42689</v>
      </c>
      <c r="D107" s="16" t="s">
        <v>193</v>
      </c>
      <c r="E107" s="17">
        <v>42676</v>
      </c>
      <c r="F107" s="17">
        <v>42695</v>
      </c>
      <c r="G107" s="17">
        <v>42696</v>
      </c>
      <c r="H107" s="16" t="s">
        <v>105</v>
      </c>
      <c r="I107" s="21">
        <v>751.65</v>
      </c>
      <c r="J107" s="21">
        <v>135.54</v>
      </c>
      <c r="K107" s="18">
        <v>616.11</v>
      </c>
      <c r="L107" s="19">
        <f t="shared" si="3"/>
        <v>-1</v>
      </c>
      <c r="M107" s="20">
        <f t="shared" si="4"/>
        <v>-616.11</v>
      </c>
    </row>
    <row r="108" spans="1:13" s="1" customFormat="1" ht="12.75">
      <c r="A108" s="15" t="s">
        <v>190</v>
      </c>
      <c r="B108" s="16">
        <v>1759</v>
      </c>
      <c r="C108" s="17">
        <v>42689</v>
      </c>
      <c r="D108" s="16" t="s">
        <v>196</v>
      </c>
      <c r="E108" s="17">
        <v>42676</v>
      </c>
      <c r="F108" s="17">
        <v>42695</v>
      </c>
      <c r="G108" s="17">
        <v>42696</v>
      </c>
      <c r="H108" s="16" t="s">
        <v>105</v>
      </c>
      <c r="I108" s="16">
        <v>236.29</v>
      </c>
      <c r="J108" s="16">
        <v>42.61</v>
      </c>
      <c r="K108" s="18">
        <v>193.68</v>
      </c>
      <c r="L108" s="19">
        <f t="shared" si="3"/>
        <v>-1</v>
      </c>
      <c r="M108" s="20">
        <f t="shared" si="4"/>
        <v>-193.68</v>
      </c>
    </row>
    <row r="109" spans="1:13" s="1" customFormat="1" ht="12.75">
      <c r="A109" s="15" t="s">
        <v>190</v>
      </c>
      <c r="B109" s="16">
        <v>1760</v>
      </c>
      <c r="C109" s="17">
        <v>42689</v>
      </c>
      <c r="D109" s="16" t="s">
        <v>201</v>
      </c>
      <c r="E109" s="17">
        <v>42676</v>
      </c>
      <c r="F109" s="17">
        <v>42695</v>
      </c>
      <c r="G109" s="17">
        <v>42696</v>
      </c>
      <c r="H109" s="16" t="s">
        <v>105</v>
      </c>
      <c r="I109" s="21">
        <v>362.35</v>
      </c>
      <c r="J109" s="16">
        <v>65.34</v>
      </c>
      <c r="K109" s="18">
        <v>297.01</v>
      </c>
      <c r="L109" s="19">
        <f t="shared" si="3"/>
        <v>-1</v>
      </c>
      <c r="M109" s="20">
        <f t="shared" si="4"/>
        <v>-297.01</v>
      </c>
    </row>
    <row r="110" spans="1:13" s="1" customFormat="1" ht="12.75">
      <c r="A110" s="15" t="s">
        <v>190</v>
      </c>
      <c r="B110" s="16">
        <v>1761</v>
      </c>
      <c r="C110" s="17">
        <v>42689</v>
      </c>
      <c r="D110" s="16" t="s">
        <v>195</v>
      </c>
      <c r="E110" s="17">
        <v>42676</v>
      </c>
      <c r="F110" s="17">
        <v>42695</v>
      </c>
      <c r="G110" s="17">
        <v>42696</v>
      </c>
      <c r="H110" s="16" t="s">
        <v>105</v>
      </c>
      <c r="I110" s="21">
        <v>467.89</v>
      </c>
      <c r="J110" s="16">
        <v>84.37</v>
      </c>
      <c r="K110" s="18">
        <v>383.52</v>
      </c>
      <c r="L110" s="19">
        <f t="shared" si="3"/>
        <v>-1</v>
      </c>
      <c r="M110" s="20">
        <f t="shared" si="4"/>
        <v>-383.52</v>
      </c>
    </row>
    <row r="111" spans="1:13" s="1" customFormat="1" ht="12.75">
      <c r="A111" s="15" t="s">
        <v>190</v>
      </c>
      <c r="B111" s="16">
        <v>1762</v>
      </c>
      <c r="C111" s="17">
        <v>42689</v>
      </c>
      <c r="D111" s="22" t="s">
        <v>191</v>
      </c>
      <c r="E111" s="17">
        <v>42676</v>
      </c>
      <c r="F111" s="17">
        <v>42695</v>
      </c>
      <c r="G111" s="17">
        <v>42696</v>
      </c>
      <c r="H111" s="16" t="s">
        <v>105</v>
      </c>
      <c r="I111" s="16">
        <v>569.3</v>
      </c>
      <c r="J111" s="16">
        <v>102.66</v>
      </c>
      <c r="K111" s="18">
        <v>466.64</v>
      </c>
      <c r="L111" s="19">
        <f t="shared" si="3"/>
        <v>-1</v>
      </c>
      <c r="M111" s="20">
        <f t="shared" si="4"/>
        <v>-466.64</v>
      </c>
    </row>
    <row r="112" spans="1:13" s="1" customFormat="1" ht="12.75">
      <c r="A112" s="15" t="s">
        <v>190</v>
      </c>
      <c r="B112" s="16">
        <v>1763</v>
      </c>
      <c r="C112" s="17">
        <v>42689</v>
      </c>
      <c r="D112" s="16" t="s">
        <v>200</v>
      </c>
      <c r="E112" s="17">
        <v>42676</v>
      </c>
      <c r="F112" s="17">
        <v>42695</v>
      </c>
      <c r="G112" s="17">
        <v>42696</v>
      </c>
      <c r="H112" s="16" t="s">
        <v>105</v>
      </c>
      <c r="I112" s="16">
        <v>7087.98</v>
      </c>
      <c r="J112" s="16">
        <v>1278.16</v>
      </c>
      <c r="K112" s="18">
        <v>5809.82</v>
      </c>
      <c r="L112" s="19">
        <f t="shared" si="3"/>
        <v>-1</v>
      </c>
      <c r="M112" s="20">
        <f t="shared" si="4"/>
        <v>-5809.82</v>
      </c>
    </row>
    <row r="113" spans="1:13" s="1" customFormat="1" ht="12.75">
      <c r="A113" s="15" t="s">
        <v>147</v>
      </c>
      <c r="B113" s="16">
        <v>1764</v>
      </c>
      <c r="C113" s="17">
        <v>42689</v>
      </c>
      <c r="D113" s="16" t="s">
        <v>157</v>
      </c>
      <c r="E113" s="17">
        <v>42674</v>
      </c>
      <c r="F113" s="17">
        <v>42695</v>
      </c>
      <c r="G113" s="17">
        <v>42735</v>
      </c>
      <c r="H113" s="16" t="s">
        <v>105</v>
      </c>
      <c r="I113" s="16">
        <v>947.65</v>
      </c>
      <c r="J113" s="16">
        <v>0</v>
      </c>
      <c r="K113" s="18">
        <v>947.65</v>
      </c>
      <c r="L113" s="19">
        <f t="shared" si="3"/>
        <v>-40</v>
      </c>
      <c r="M113" s="20">
        <f t="shared" si="4"/>
        <v>-37906</v>
      </c>
    </row>
    <row r="114" spans="1:13" s="1" customFormat="1" ht="26.25">
      <c r="A114" s="15" t="s">
        <v>216</v>
      </c>
      <c r="B114" s="16">
        <v>1765</v>
      </c>
      <c r="C114" s="17">
        <v>42689</v>
      </c>
      <c r="D114" s="16" t="s">
        <v>33</v>
      </c>
      <c r="E114" s="17">
        <v>42668</v>
      </c>
      <c r="F114" s="17">
        <v>42695</v>
      </c>
      <c r="G114" s="17">
        <v>42706</v>
      </c>
      <c r="H114" s="16" t="s">
        <v>114</v>
      </c>
      <c r="I114" s="16">
        <v>997</v>
      </c>
      <c r="J114" s="16">
        <v>90.64</v>
      </c>
      <c r="K114" s="18">
        <v>906.36</v>
      </c>
      <c r="L114" s="19">
        <f t="shared" si="3"/>
        <v>-11</v>
      </c>
      <c r="M114" s="20">
        <f t="shared" si="4"/>
        <v>-9969.960000000001</v>
      </c>
    </row>
    <row r="115" spans="1:13" s="1" customFormat="1" ht="12.75">
      <c r="A115" s="15" t="s">
        <v>48</v>
      </c>
      <c r="B115" s="16">
        <v>1768</v>
      </c>
      <c r="C115" s="17">
        <v>42689</v>
      </c>
      <c r="D115" s="22">
        <v>42736</v>
      </c>
      <c r="E115" s="17">
        <v>42658</v>
      </c>
      <c r="F115" s="17">
        <v>42695</v>
      </c>
      <c r="G115" s="17">
        <v>42706</v>
      </c>
      <c r="H115" s="16" t="s">
        <v>114</v>
      </c>
      <c r="I115" s="16">
        <v>1268.8</v>
      </c>
      <c r="J115" s="16">
        <v>228.8</v>
      </c>
      <c r="K115" s="18">
        <v>1040</v>
      </c>
      <c r="L115" s="19">
        <f t="shared" si="3"/>
        <v>-11</v>
      </c>
      <c r="M115" s="20">
        <f t="shared" si="4"/>
        <v>-11440</v>
      </c>
    </row>
    <row r="116" spans="1:13" s="1" customFormat="1" ht="12.75">
      <c r="A116" s="15" t="s">
        <v>69</v>
      </c>
      <c r="B116" s="16">
        <v>1808</v>
      </c>
      <c r="C116" s="17">
        <v>42692</v>
      </c>
      <c r="D116" s="16" t="str">
        <f>"13486"</f>
        <v>13486</v>
      </c>
      <c r="E116" s="17">
        <v>42674</v>
      </c>
      <c r="F116" s="17">
        <v>42695</v>
      </c>
      <c r="G116" s="17">
        <v>42712</v>
      </c>
      <c r="H116" s="16" t="s">
        <v>105</v>
      </c>
      <c r="I116" s="16">
        <v>1288.73</v>
      </c>
      <c r="J116" s="16">
        <v>0</v>
      </c>
      <c r="K116" s="18">
        <v>1288.73</v>
      </c>
      <c r="L116" s="19">
        <f t="shared" si="3"/>
        <v>-17</v>
      </c>
      <c r="M116" s="20">
        <f t="shared" si="4"/>
        <v>-21908.41</v>
      </c>
    </row>
    <row r="117" spans="1:13" s="1" customFormat="1" ht="12.75">
      <c r="A117" s="15" t="s">
        <v>69</v>
      </c>
      <c r="B117" s="16">
        <v>1808</v>
      </c>
      <c r="C117" s="17">
        <v>42692</v>
      </c>
      <c r="D117" s="16" t="str">
        <f>"13485"</f>
        <v>13485</v>
      </c>
      <c r="E117" s="17">
        <v>42674</v>
      </c>
      <c r="F117" s="17">
        <v>42695</v>
      </c>
      <c r="G117" s="17">
        <v>42712</v>
      </c>
      <c r="H117" s="16" t="s">
        <v>105</v>
      </c>
      <c r="I117" s="16">
        <v>9.75</v>
      </c>
      <c r="J117" s="16">
        <v>0</v>
      </c>
      <c r="K117" s="18">
        <v>9.75</v>
      </c>
      <c r="L117" s="19">
        <f t="shared" si="3"/>
        <v>-17</v>
      </c>
      <c r="M117" s="20">
        <f t="shared" si="4"/>
        <v>-165.75</v>
      </c>
    </row>
    <row r="118" spans="1:13" s="1" customFormat="1" ht="39">
      <c r="A118" s="15" t="s">
        <v>149</v>
      </c>
      <c r="B118" s="16">
        <v>1809</v>
      </c>
      <c r="C118" s="17">
        <v>42692</v>
      </c>
      <c r="D118" s="16" t="s">
        <v>167</v>
      </c>
      <c r="E118" s="17">
        <v>42683</v>
      </c>
      <c r="F118" s="17">
        <v>42695</v>
      </c>
      <c r="G118" s="17">
        <v>42744</v>
      </c>
      <c r="H118" s="16" t="s">
        <v>105</v>
      </c>
      <c r="I118" s="16">
        <v>539.7</v>
      </c>
      <c r="J118" s="16">
        <v>25.7</v>
      </c>
      <c r="K118" s="18">
        <v>514</v>
      </c>
      <c r="L118" s="19">
        <f t="shared" si="3"/>
        <v>-49</v>
      </c>
      <c r="M118" s="20">
        <f t="shared" si="4"/>
        <v>-25186</v>
      </c>
    </row>
    <row r="119" spans="1:13" s="1" customFormat="1" ht="39">
      <c r="A119" s="15" t="s">
        <v>149</v>
      </c>
      <c r="B119" s="16">
        <v>1810</v>
      </c>
      <c r="C119" s="17">
        <v>42692</v>
      </c>
      <c r="D119" s="16" t="s">
        <v>166</v>
      </c>
      <c r="E119" s="17">
        <v>42683</v>
      </c>
      <c r="F119" s="17">
        <v>42695</v>
      </c>
      <c r="G119" s="17">
        <v>42744</v>
      </c>
      <c r="H119" s="16" t="s">
        <v>105</v>
      </c>
      <c r="I119" s="21">
        <v>1010.88</v>
      </c>
      <c r="J119" s="21">
        <v>38.88</v>
      </c>
      <c r="K119" s="18">
        <v>972</v>
      </c>
      <c r="L119" s="19">
        <f t="shared" si="3"/>
        <v>-49</v>
      </c>
      <c r="M119" s="20">
        <f t="shared" si="4"/>
        <v>-47628</v>
      </c>
    </row>
    <row r="120" spans="1:13" s="1" customFormat="1" ht="12.75">
      <c r="A120" s="15" t="s">
        <v>213</v>
      </c>
      <c r="B120" s="16">
        <v>1811</v>
      </c>
      <c r="C120" s="17">
        <v>42692</v>
      </c>
      <c r="D120" s="16" t="str">
        <f>"0001132982"</f>
        <v>0001132982</v>
      </c>
      <c r="E120" s="17">
        <v>42674</v>
      </c>
      <c r="F120" s="17">
        <v>42695</v>
      </c>
      <c r="G120" s="17">
        <v>42713</v>
      </c>
      <c r="H120" s="16" t="s">
        <v>105</v>
      </c>
      <c r="I120" s="16">
        <v>996.6</v>
      </c>
      <c r="J120" s="16">
        <v>0</v>
      </c>
      <c r="K120" s="18">
        <v>996.6</v>
      </c>
      <c r="L120" s="19">
        <f t="shared" si="3"/>
        <v>-18</v>
      </c>
      <c r="M120" s="20">
        <f t="shared" si="4"/>
        <v>-17938.8</v>
      </c>
    </row>
    <row r="121" spans="1:13" s="1" customFormat="1" ht="12.75">
      <c r="A121" s="15" t="s">
        <v>213</v>
      </c>
      <c r="B121" s="16">
        <v>1811</v>
      </c>
      <c r="C121" s="17">
        <v>42692</v>
      </c>
      <c r="D121" s="16" t="str">
        <f>"0001132633"</f>
        <v>0001132633</v>
      </c>
      <c r="E121" s="17">
        <v>42674</v>
      </c>
      <c r="F121" s="17">
        <v>42695</v>
      </c>
      <c r="G121" s="17">
        <v>42713</v>
      </c>
      <c r="H121" s="16" t="s">
        <v>105</v>
      </c>
      <c r="I121" s="16">
        <v>285.25</v>
      </c>
      <c r="J121" s="16">
        <v>0</v>
      </c>
      <c r="K121" s="18">
        <v>285.25</v>
      </c>
      <c r="L121" s="19">
        <f t="shared" si="3"/>
        <v>-18</v>
      </c>
      <c r="M121" s="20">
        <f t="shared" si="4"/>
        <v>-5134.5</v>
      </c>
    </row>
    <row r="122" spans="1:13" s="1" customFormat="1" ht="12.75">
      <c r="A122" s="15" t="s">
        <v>213</v>
      </c>
      <c r="B122" s="16">
        <v>1812</v>
      </c>
      <c r="C122" s="17">
        <v>42692</v>
      </c>
      <c r="D122" s="16" t="str">
        <f>"0002141841"</f>
        <v>0002141841</v>
      </c>
      <c r="E122" s="17">
        <v>42674</v>
      </c>
      <c r="F122" s="17">
        <v>42695</v>
      </c>
      <c r="G122" s="17">
        <v>42735</v>
      </c>
      <c r="H122" s="16" t="s">
        <v>105</v>
      </c>
      <c r="I122" s="16">
        <v>552.66</v>
      </c>
      <c r="J122" s="16">
        <v>99.66</v>
      </c>
      <c r="K122" s="18">
        <v>453</v>
      </c>
      <c r="L122" s="19">
        <f t="shared" si="3"/>
        <v>-40</v>
      </c>
      <c r="M122" s="20">
        <f t="shared" si="4"/>
        <v>-18120</v>
      </c>
    </row>
    <row r="123" spans="1:13" s="1" customFormat="1" ht="12.75">
      <c r="A123" s="15" t="s">
        <v>117</v>
      </c>
      <c r="B123" s="16">
        <v>1813</v>
      </c>
      <c r="C123" s="17">
        <v>42692</v>
      </c>
      <c r="D123" s="22" t="s">
        <v>118</v>
      </c>
      <c r="E123" s="17">
        <v>42582</v>
      </c>
      <c r="F123" s="17">
        <v>42695</v>
      </c>
      <c r="G123" s="17">
        <v>42686</v>
      </c>
      <c r="H123" s="16" t="s">
        <v>105</v>
      </c>
      <c r="I123" s="16">
        <v>314</v>
      </c>
      <c r="J123" s="16">
        <v>0</v>
      </c>
      <c r="K123" s="18">
        <v>314</v>
      </c>
      <c r="L123" s="19">
        <f t="shared" si="3"/>
        <v>9</v>
      </c>
      <c r="M123" s="20">
        <f t="shared" si="4"/>
        <v>2826</v>
      </c>
    </row>
    <row r="124" spans="1:13" s="1" customFormat="1" ht="12.75">
      <c r="A124" s="15" t="s">
        <v>117</v>
      </c>
      <c r="B124" s="16">
        <v>1814</v>
      </c>
      <c r="C124" s="17">
        <v>42692</v>
      </c>
      <c r="D124" s="22" t="s">
        <v>123</v>
      </c>
      <c r="E124" s="17">
        <v>42613</v>
      </c>
      <c r="F124" s="17">
        <v>42695</v>
      </c>
      <c r="G124" s="17">
        <v>42678</v>
      </c>
      <c r="H124" s="16" t="s">
        <v>105</v>
      </c>
      <c r="I124" s="16">
        <v>290</v>
      </c>
      <c r="J124" s="16">
        <v>0</v>
      </c>
      <c r="K124" s="18">
        <v>290</v>
      </c>
      <c r="L124" s="19">
        <f t="shared" si="3"/>
        <v>17</v>
      </c>
      <c r="M124" s="20">
        <f t="shared" si="4"/>
        <v>4930</v>
      </c>
    </row>
    <row r="125" spans="1:13" s="1" customFormat="1" ht="12.75">
      <c r="A125" s="15" t="s">
        <v>117</v>
      </c>
      <c r="B125" s="16">
        <v>1815</v>
      </c>
      <c r="C125" s="17">
        <v>42692</v>
      </c>
      <c r="D125" s="16" t="s">
        <v>23</v>
      </c>
      <c r="E125" s="17">
        <v>42643</v>
      </c>
      <c r="F125" s="17">
        <v>42695</v>
      </c>
      <c r="G125" s="17">
        <v>42686</v>
      </c>
      <c r="H125" s="16" t="s">
        <v>105</v>
      </c>
      <c r="I125" s="16">
        <v>270</v>
      </c>
      <c r="J125" s="16">
        <v>0</v>
      </c>
      <c r="K125" s="18">
        <v>270</v>
      </c>
      <c r="L125" s="19">
        <f t="shared" si="3"/>
        <v>9</v>
      </c>
      <c r="M125" s="20">
        <f t="shared" si="4"/>
        <v>2430</v>
      </c>
    </row>
    <row r="126" spans="1:13" s="1" customFormat="1" ht="12.75">
      <c r="A126" s="15" t="s">
        <v>213</v>
      </c>
      <c r="B126" s="16">
        <v>1816</v>
      </c>
      <c r="C126" s="17">
        <v>42693</v>
      </c>
      <c r="D126" s="16" t="str">
        <f>"0002134452"</f>
        <v>0002134452</v>
      </c>
      <c r="E126" s="17">
        <v>42640</v>
      </c>
      <c r="F126" s="17">
        <v>42695</v>
      </c>
      <c r="G126" s="17">
        <v>42704</v>
      </c>
      <c r="H126" s="16" t="s">
        <v>105</v>
      </c>
      <c r="I126" s="16">
        <v>488</v>
      </c>
      <c r="J126" s="16">
        <v>88</v>
      </c>
      <c r="K126" s="18">
        <v>400</v>
      </c>
      <c r="L126" s="19">
        <f t="shared" si="3"/>
        <v>-9</v>
      </c>
      <c r="M126" s="20">
        <f t="shared" si="4"/>
        <v>-3600</v>
      </c>
    </row>
    <row r="127" spans="1:13" s="1" customFormat="1" ht="12.75">
      <c r="A127" s="15" t="s">
        <v>80</v>
      </c>
      <c r="B127" s="16">
        <v>1817</v>
      </c>
      <c r="C127" s="17">
        <v>42693</v>
      </c>
      <c r="D127" s="16" t="s">
        <v>81</v>
      </c>
      <c r="E127" s="17">
        <v>42685</v>
      </c>
      <c r="F127" s="17">
        <v>42695</v>
      </c>
      <c r="G127" s="17">
        <v>42715</v>
      </c>
      <c r="H127" s="16" t="s">
        <v>105</v>
      </c>
      <c r="I127" s="16">
        <v>295</v>
      </c>
      <c r="J127" s="16">
        <v>0</v>
      </c>
      <c r="K127" s="18">
        <v>295</v>
      </c>
      <c r="L127" s="19">
        <f t="shared" si="3"/>
        <v>-20</v>
      </c>
      <c r="M127" s="20">
        <f t="shared" si="4"/>
        <v>-5900</v>
      </c>
    </row>
    <row r="128" spans="1:13" s="1" customFormat="1" ht="12.75">
      <c r="A128" s="15" t="s">
        <v>112</v>
      </c>
      <c r="B128" s="16">
        <v>1820</v>
      </c>
      <c r="C128" s="17">
        <v>42693</v>
      </c>
      <c r="D128" s="22" t="s">
        <v>113</v>
      </c>
      <c r="E128" s="17">
        <v>42551</v>
      </c>
      <c r="F128" s="17">
        <v>42695</v>
      </c>
      <c r="G128" s="17">
        <v>42592</v>
      </c>
      <c r="H128" s="16" t="s">
        <v>114</v>
      </c>
      <c r="I128" s="16">
        <v>572.79</v>
      </c>
      <c r="J128" s="16">
        <v>103.29</v>
      </c>
      <c r="K128" s="18">
        <v>469.5</v>
      </c>
      <c r="L128" s="19">
        <f t="shared" si="3"/>
        <v>103</v>
      </c>
      <c r="M128" s="20">
        <f t="shared" si="4"/>
        <v>48358.5</v>
      </c>
    </row>
    <row r="129" spans="1:13" s="1" customFormat="1" ht="12.75">
      <c r="A129" s="15" t="s">
        <v>112</v>
      </c>
      <c r="B129" s="16">
        <v>1821</v>
      </c>
      <c r="C129" s="17">
        <v>42693</v>
      </c>
      <c r="D129" s="22" t="s">
        <v>116</v>
      </c>
      <c r="E129" s="17">
        <v>42551</v>
      </c>
      <c r="F129" s="17">
        <v>42695</v>
      </c>
      <c r="G129" s="17">
        <v>42596</v>
      </c>
      <c r="H129" s="16" t="s">
        <v>114</v>
      </c>
      <c r="I129" s="16">
        <v>572.79</v>
      </c>
      <c r="J129" s="16">
        <v>103.29</v>
      </c>
      <c r="K129" s="18">
        <v>469.5</v>
      </c>
      <c r="L129" s="19">
        <f t="shared" si="3"/>
        <v>99</v>
      </c>
      <c r="M129" s="20">
        <f t="shared" si="4"/>
        <v>46480.5</v>
      </c>
    </row>
    <row r="130" spans="1:13" s="1" customFormat="1" ht="12.75">
      <c r="A130" s="15" t="s">
        <v>112</v>
      </c>
      <c r="B130" s="16">
        <v>1822</v>
      </c>
      <c r="C130" s="17">
        <v>42693</v>
      </c>
      <c r="D130" s="22" t="s">
        <v>119</v>
      </c>
      <c r="E130" s="17">
        <v>42582</v>
      </c>
      <c r="F130" s="17">
        <v>42695</v>
      </c>
      <c r="G130" s="17">
        <v>42617</v>
      </c>
      <c r="H130" s="16" t="s">
        <v>114</v>
      </c>
      <c r="I130" s="16">
        <v>1145.58</v>
      </c>
      <c r="J130" s="16">
        <v>206.58</v>
      </c>
      <c r="K130" s="18">
        <v>939</v>
      </c>
      <c r="L130" s="19">
        <f t="shared" si="3"/>
        <v>78</v>
      </c>
      <c r="M130" s="20">
        <f t="shared" si="4"/>
        <v>73242</v>
      </c>
    </row>
    <row r="131" spans="1:13" s="1" customFormat="1" ht="12.75">
      <c r="A131" s="15" t="s">
        <v>112</v>
      </c>
      <c r="B131" s="16">
        <v>1823</v>
      </c>
      <c r="C131" s="17">
        <v>42693</v>
      </c>
      <c r="D131" s="22" t="s">
        <v>3</v>
      </c>
      <c r="E131" s="17">
        <v>42613</v>
      </c>
      <c r="F131" s="17">
        <v>42695</v>
      </c>
      <c r="G131" s="17">
        <v>42659</v>
      </c>
      <c r="H131" s="16" t="s">
        <v>114</v>
      </c>
      <c r="I131" s="16">
        <v>1145.58</v>
      </c>
      <c r="J131" s="16">
        <v>206.58</v>
      </c>
      <c r="K131" s="18">
        <v>939</v>
      </c>
      <c r="L131" s="19">
        <f aca="true" t="shared" si="5" ref="L131:L194">+F131-G131</f>
        <v>36</v>
      </c>
      <c r="M131" s="20">
        <f aca="true" t="shared" si="6" ref="M131:M194">+L131*K131</f>
        <v>33804</v>
      </c>
    </row>
    <row r="132" spans="1:13" s="1" customFormat="1" ht="12.75">
      <c r="A132" s="15" t="s">
        <v>112</v>
      </c>
      <c r="B132" s="16">
        <v>1824</v>
      </c>
      <c r="C132" s="17">
        <v>42693</v>
      </c>
      <c r="D132" s="16" t="s">
        <v>19</v>
      </c>
      <c r="E132" s="17">
        <v>42643</v>
      </c>
      <c r="F132" s="17">
        <v>42695</v>
      </c>
      <c r="G132" s="17">
        <v>42683</v>
      </c>
      <c r="H132" s="16" t="s">
        <v>114</v>
      </c>
      <c r="I132" s="16">
        <v>1145.58</v>
      </c>
      <c r="J132" s="16">
        <v>206.58</v>
      </c>
      <c r="K132" s="18">
        <v>939</v>
      </c>
      <c r="L132" s="19">
        <f t="shared" si="5"/>
        <v>12</v>
      </c>
      <c r="M132" s="20">
        <f t="shared" si="6"/>
        <v>11268</v>
      </c>
    </row>
    <row r="133" spans="1:13" s="1" customFormat="1" ht="12.75">
      <c r="A133" s="15" t="s">
        <v>112</v>
      </c>
      <c r="B133" s="16">
        <v>1825</v>
      </c>
      <c r="C133" s="17">
        <v>42693</v>
      </c>
      <c r="D133" s="16" t="s">
        <v>18</v>
      </c>
      <c r="E133" s="17">
        <v>42643</v>
      </c>
      <c r="F133" s="17">
        <v>42695</v>
      </c>
      <c r="G133" s="17">
        <v>42683</v>
      </c>
      <c r="H133" s="16" t="s">
        <v>114</v>
      </c>
      <c r="I133" s="16">
        <v>356.85</v>
      </c>
      <c r="J133" s="16">
        <v>64.35</v>
      </c>
      <c r="K133" s="18">
        <v>292.5</v>
      </c>
      <c r="L133" s="19">
        <f t="shared" si="5"/>
        <v>12</v>
      </c>
      <c r="M133" s="20">
        <f t="shared" si="6"/>
        <v>3510</v>
      </c>
    </row>
    <row r="134" spans="1:13" s="1" customFormat="1" ht="26.25">
      <c r="A134" s="15" t="s">
        <v>152</v>
      </c>
      <c r="B134" s="16">
        <v>1826</v>
      </c>
      <c r="C134" s="17">
        <v>42693</v>
      </c>
      <c r="D134" s="16" t="s">
        <v>153</v>
      </c>
      <c r="E134" s="17">
        <v>42678</v>
      </c>
      <c r="F134" s="17">
        <v>42695</v>
      </c>
      <c r="G134" s="17">
        <v>42735</v>
      </c>
      <c r="H134" s="16" t="s">
        <v>105</v>
      </c>
      <c r="I134" s="16">
        <v>400.77</v>
      </c>
      <c r="J134" s="16">
        <v>72.27</v>
      </c>
      <c r="K134" s="18">
        <v>328.5</v>
      </c>
      <c r="L134" s="19">
        <f t="shared" si="5"/>
        <v>-40</v>
      </c>
      <c r="M134" s="20">
        <f t="shared" si="6"/>
        <v>-13140</v>
      </c>
    </row>
    <row r="135" spans="1:13" s="1" customFormat="1" ht="26.25">
      <c r="A135" s="15" t="s">
        <v>216</v>
      </c>
      <c r="B135" s="16">
        <v>1827</v>
      </c>
      <c r="C135" s="17">
        <v>42693</v>
      </c>
      <c r="D135" s="16" t="s">
        <v>65</v>
      </c>
      <c r="E135" s="17">
        <v>42674</v>
      </c>
      <c r="F135" s="17">
        <v>42695</v>
      </c>
      <c r="G135" s="17">
        <v>42711</v>
      </c>
      <c r="H135" s="16" t="s">
        <v>114</v>
      </c>
      <c r="I135" s="16">
        <v>2000</v>
      </c>
      <c r="J135" s="16">
        <v>360.66</v>
      </c>
      <c r="K135" s="18">
        <v>1639.34</v>
      </c>
      <c r="L135" s="19">
        <f t="shared" si="5"/>
        <v>-16</v>
      </c>
      <c r="M135" s="20">
        <f t="shared" si="6"/>
        <v>-26229.44</v>
      </c>
    </row>
    <row r="136" spans="1:13" s="1" customFormat="1" ht="12.75">
      <c r="A136" s="15" t="s">
        <v>1</v>
      </c>
      <c r="B136" s="16">
        <v>1828</v>
      </c>
      <c r="C136" s="17">
        <v>42693</v>
      </c>
      <c r="D136" s="22" t="str">
        <f>"0001103393"</f>
        <v>0001103393</v>
      </c>
      <c r="E136" s="17">
        <v>42643</v>
      </c>
      <c r="F136" s="17">
        <v>42695</v>
      </c>
      <c r="G136" s="17">
        <v>42674</v>
      </c>
      <c r="H136" s="16" t="s">
        <v>105</v>
      </c>
      <c r="I136" s="16">
        <v>9</v>
      </c>
      <c r="J136" s="16">
        <v>0</v>
      </c>
      <c r="K136" s="18">
        <v>9</v>
      </c>
      <c r="L136" s="19">
        <f t="shared" si="5"/>
        <v>21</v>
      </c>
      <c r="M136" s="20">
        <f t="shared" si="6"/>
        <v>189</v>
      </c>
    </row>
    <row r="137" spans="1:13" s="1" customFormat="1" ht="26.25">
      <c r="A137" s="15" t="s">
        <v>216</v>
      </c>
      <c r="B137" s="16">
        <v>1829</v>
      </c>
      <c r="C137" s="17">
        <v>42693</v>
      </c>
      <c r="D137" s="16" t="s">
        <v>34</v>
      </c>
      <c r="E137" s="17">
        <v>42670</v>
      </c>
      <c r="F137" s="17">
        <v>42695</v>
      </c>
      <c r="G137" s="17">
        <v>42706</v>
      </c>
      <c r="H137" s="16" t="s">
        <v>114</v>
      </c>
      <c r="I137" s="16">
        <v>3999.99</v>
      </c>
      <c r="J137" s="16">
        <v>721.31</v>
      </c>
      <c r="K137" s="18">
        <v>3278.68</v>
      </c>
      <c r="L137" s="19">
        <f t="shared" si="5"/>
        <v>-11</v>
      </c>
      <c r="M137" s="20">
        <f t="shared" si="6"/>
        <v>-36065.479999999996</v>
      </c>
    </row>
    <row r="138" spans="1:13" s="1" customFormat="1" ht="26.25">
      <c r="A138" s="15" t="s">
        <v>154</v>
      </c>
      <c r="B138" s="16">
        <v>1830</v>
      </c>
      <c r="C138" s="17">
        <v>42693</v>
      </c>
      <c r="D138" s="16" t="s">
        <v>155</v>
      </c>
      <c r="E138" s="17">
        <v>42674</v>
      </c>
      <c r="F138" s="17">
        <v>42695</v>
      </c>
      <c r="G138" s="17">
        <v>42735</v>
      </c>
      <c r="H138" s="16" t="s">
        <v>105</v>
      </c>
      <c r="I138" s="21">
        <v>4392.2</v>
      </c>
      <c r="J138" s="21">
        <v>399.29</v>
      </c>
      <c r="K138" s="18">
        <v>3992.91</v>
      </c>
      <c r="L138" s="19">
        <f t="shared" si="5"/>
        <v>-40</v>
      </c>
      <c r="M138" s="20">
        <f t="shared" si="6"/>
        <v>-159716.4</v>
      </c>
    </row>
    <row r="139" spans="1:13" s="1" customFormat="1" ht="12.75">
      <c r="A139" s="15" t="s">
        <v>133</v>
      </c>
      <c r="B139" s="16">
        <v>1831</v>
      </c>
      <c r="C139" s="17">
        <v>42693</v>
      </c>
      <c r="D139" s="16" t="s">
        <v>134</v>
      </c>
      <c r="E139" s="17">
        <v>42643</v>
      </c>
      <c r="F139" s="17">
        <v>42695</v>
      </c>
      <c r="G139" s="17">
        <v>42722</v>
      </c>
      <c r="H139" s="16" t="s">
        <v>105</v>
      </c>
      <c r="I139" s="16">
        <v>625.87</v>
      </c>
      <c r="J139" s="16">
        <v>24.07</v>
      </c>
      <c r="K139" s="18">
        <v>601.8</v>
      </c>
      <c r="L139" s="19">
        <f t="shared" si="5"/>
        <v>-27</v>
      </c>
      <c r="M139" s="20">
        <f t="shared" si="6"/>
        <v>-16248.599999999999</v>
      </c>
    </row>
    <row r="140" spans="1:13" s="1" customFormat="1" ht="12.75">
      <c r="A140" s="15" t="s">
        <v>188</v>
      </c>
      <c r="B140" s="16">
        <v>1832</v>
      </c>
      <c r="C140" s="17">
        <v>42693</v>
      </c>
      <c r="D140" s="22" t="s">
        <v>189</v>
      </c>
      <c r="E140" s="17">
        <v>42665</v>
      </c>
      <c r="F140" s="17">
        <v>42695</v>
      </c>
      <c r="G140" s="17">
        <v>42695</v>
      </c>
      <c r="H140" s="16" t="s">
        <v>114</v>
      </c>
      <c r="I140" s="16">
        <v>3616.08</v>
      </c>
      <c r="J140" s="16">
        <v>0</v>
      </c>
      <c r="K140" s="18">
        <v>3616.08</v>
      </c>
      <c r="L140" s="19">
        <f t="shared" si="5"/>
        <v>0</v>
      </c>
      <c r="M140" s="20">
        <f t="shared" si="6"/>
        <v>0</v>
      </c>
    </row>
    <row r="141" spans="1:13" s="1" customFormat="1" ht="12.75">
      <c r="A141" s="15" t="s">
        <v>46</v>
      </c>
      <c r="B141" s="16">
        <v>1838</v>
      </c>
      <c r="C141" s="17">
        <v>42693</v>
      </c>
      <c r="D141" s="22" t="s">
        <v>47</v>
      </c>
      <c r="E141" s="17">
        <v>42676</v>
      </c>
      <c r="F141" s="17">
        <v>42695</v>
      </c>
      <c r="G141" s="17">
        <v>42706</v>
      </c>
      <c r="H141" s="16" t="s">
        <v>114</v>
      </c>
      <c r="I141" s="16">
        <v>446.52</v>
      </c>
      <c r="J141" s="16">
        <v>80.52</v>
      </c>
      <c r="K141" s="18">
        <v>366</v>
      </c>
      <c r="L141" s="19">
        <f t="shared" si="5"/>
        <v>-11</v>
      </c>
      <c r="M141" s="20">
        <f t="shared" si="6"/>
        <v>-4026</v>
      </c>
    </row>
    <row r="142" spans="1:13" s="1" customFormat="1" ht="12.75">
      <c r="A142" s="15" t="s">
        <v>214</v>
      </c>
      <c r="B142" s="16">
        <v>1841</v>
      </c>
      <c r="C142" s="17">
        <v>42693</v>
      </c>
      <c r="D142" s="16" t="s">
        <v>215</v>
      </c>
      <c r="E142" s="17">
        <v>42674</v>
      </c>
      <c r="F142" s="17">
        <v>42695</v>
      </c>
      <c r="G142" s="17">
        <v>42704</v>
      </c>
      <c r="H142" s="16" t="s">
        <v>114</v>
      </c>
      <c r="I142" s="21">
        <v>1464</v>
      </c>
      <c r="J142" s="16">
        <v>264</v>
      </c>
      <c r="K142" s="18">
        <v>1200</v>
      </c>
      <c r="L142" s="19">
        <f t="shared" si="5"/>
        <v>-9</v>
      </c>
      <c r="M142" s="20">
        <f t="shared" si="6"/>
        <v>-10800</v>
      </c>
    </row>
    <row r="143" spans="1:13" s="1" customFormat="1" ht="12.75">
      <c r="A143" s="15" t="s">
        <v>127</v>
      </c>
      <c r="B143" s="16">
        <v>1842</v>
      </c>
      <c r="C143" s="17">
        <v>42693</v>
      </c>
      <c r="D143" s="16" t="s">
        <v>132</v>
      </c>
      <c r="E143" s="17">
        <v>42660</v>
      </c>
      <c r="F143" s="17">
        <v>42695</v>
      </c>
      <c r="G143" s="17">
        <v>42722</v>
      </c>
      <c r="H143" s="16" t="s">
        <v>105</v>
      </c>
      <c r="I143" s="16">
        <v>85.4</v>
      </c>
      <c r="J143" s="16">
        <v>15.4</v>
      </c>
      <c r="K143" s="18">
        <v>70</v>
      </c>
      <c r="L143" s="19">
        <f t="shared" si="5"/>
        <v>-27</v>
      </c>
      <c r="M143" s="20">
        <f t="shared" si="6"/>
        <v>-1890</v>
      </c>
    </row>
    <row r="144" spans="1:13" s="1" customFormat="1" ht="26.25">
      <c r="A144" s="15" t="s">
        <v>131</v>
      </c>
      <c r="B144" s="16">
        <v>1843</v>
      </c>
      <c r="C144" s="17">
        <v>42693</v>
      </c>
      <c r="D144" s="16" t="str">
        <f>"850"</f>
        <v>850</v>
      </c>
      <c r="E144" s="17">
        <v>42690</v>
      </c>
      <c r="F144" s="17">
        <v>42695</v>
      </c>
      <c r="G144" s="17">
        <v>42720</v>
      </c>
      <c r="H144" s="16" t="s">
        <v>105</v>
      </c>
      <c r="I144" s="16">
        <v>24.4</v>
      </c>
      <c r="J144" s="16">
        <v>4.4</v>
      </c>
      <c r="K144" s="18">
        <v>20</v>
      </c>
      <c r="L144" s="19">
        <f t="shared" si="5"/>
        <v>-25</v>
      </c>
      <c r="M144" s="20">
        <f t="shared" si="6"/>
        <v>-500</v>
      </c>
    </row>
    <row r="145" spans="1:13" s="1" customFormat="1" ht="12.75">
      <c r="A145" s="15" t="s">
        <v>162</v>
      </c>
      <c r="B145" s="16">
        <v>1844</v>
      </c>
      <c r="C145" s="17">
        <v>42693</v>
      </c>
      <c r="D145" s="16" t="str">
        <f>"0000022887"</f>
        <v>0000022887</v>
      </c>
      <c r="E145" s="17">
        <v>42683</v>
      </c>
      <c r="F145" s="17">
        <v>42695</v>
      </c>
      <c r="G145" s="17">
        <v>42743</v>
      </c>
      <c r="H145" s="16" t="s">
        <v>105</v>
      </c>
      <c r="I145" s="21">
        <v>69.81</v>
      </c>
      <c r="J145" s="16">
        <v>12.59</v>
      </c>
      <c r="K145" s="18">
        <v>57.22</v>
      </c>
      <c r="L145" s="19">
        <f t="shared" si="5"/>
        <v>-48</v>
      </c>
      <c r="M145" s="20">
        <f t="shared" si="6"/>
        <v>-2746.56</v>
      </c>
    </row>
    <row r="146" spans="1:13" s="1" customFormat="1" ht="12.75">
      <c r="A146" s="15" t="s">
        <v>162</v>
      </c>
      <c r="B146" s="16">
        <v>1845</v>
      </c>
      <c r="C146" s="17">
        <v>42693</v>
      </c>
      <c r="D146" s="16" t="str">
        <f>"0000022886"</f>
        <v>0000022886</v>
      </c>
      <c r="E146" s="17">
        <v>42683</v>
      </c>
      <c r="F146" s="17">
        <v>42695</v>
      </c>
      <c r="G146" s="17">
        <v>42743</v>
      </c>
      <c r="H146" s="16" t="s">
        <v>105</v>
      </c>
      <c r="I146" s="16">
        <v>63.98</v>
      </c>
      <c r="J146" s="16">
        <v>11.54</v>
      </c>
      <c r="K146" s="18">
        <v>52.44</v>
      </c>
      <c r="L146" s="19">
        <f t="shared" si="5"/>
        <v>-48</v>
      </c>
      <c r="M146" s="20">
        <f t="shared" si="6"/>
        <v>-2517.12</v>
      </c>
    </row>
    <row r="147" spans="1:13" s="1" customFormat="1" ht="12.75">
      <c r="A147" s="15" t="s">
        <v>20</v>
      </c>
      <c r="B147" s="16">
        <v>1846</v>
      </c>
      <c r="C147" s="17">
        <v>42695</v>
      </c>
      <c r="D147" s="16" t="s">
        <v>21</v>
      </c>
      <c r="E147" s="17">
        <v>42684</v>
      </c>
      <c r="F147" s="17">
        <v>42695</v>
      </c>
      <c r="G147" s="17">
        <v>42721</v>
      </c>
      <c r="H147" s="16" t="s">
        <v>105</v>
      </c>
      <c r="I147" s="16">
        <v>41.81</v>
      </c>
      <c r="J147" s="16">
        <v>0</v>
      </c>
      <c r="K147" s="18">
        <v>41.81</v>
      </c>
      <c r="L147" s="19">
        <f t="shared" si="5"/>
        <v>-26</v>
      </c>
      <c r="M147" s="20">
        <f t="shared" si="6"/>
        <v>-1087.06</v>
      </c>
    </row>
    <row r="148" spans="1:13" s="1" customFormat="1" ht="12.75">
      <c r="A148" s="15" t="s">
        <v>133</v>
      </c>
      <c r="B148" s="16">
        <v>1853</v>
      </c>
      <c r="C148" s="17">
        <v>42695</v>
      </c>
      <c r="D148" s="16" t="s">
        <v>156</v>
      </c>
      <c r="E148" s="17">
        <v>42674</v>
      </c>
      <c r="F148" s="17">
        <v>42695</v>
      </c>
      <c r="G148" s="17">
        <v>42735</v>
      </c>
      <c r="H148" s="16" t="s">
        <v>105</v>
      </c>
      <c r="I148" s="21">
        <v>15687.3</v>
      </c>
      <c r="J148" s="16">
        <v>603.36</v>
      </c>
      <c r="K148" s="18">
        <v>15083.94</v>
      </c>
      <c r="L148" s="19">
        <f t="shared" si="5"/>
        <v>-40</v>
      </c>
      <c r="M148" s="20">
        <f t="shared" si="6"/>
        <v>-603357.6</v>
      </c>
    </row>
    <row r="149" spans="1:13" s="1" customFormat="1" ht="26.25">
      <c r="A149" s="15" t="s">
        <v>88</v>
      </c>
      <c r="B149" s="16">
        <v>1854</v>
      </c>
      <c r="C149" s="17">
        <v>42695</v>
      </c>
      <c r="D149" s="16" t="s">
        <v>89</v>
      </c>
      <c r="E149" s="17">
        <v>42689</v>
      </c>
      <c r="F149" s="17">
        <v>42695</v>
      </c>
      <c r="G149" s="17">
        <v>42719</v>
      </c>
      <c r="H149" s="16" t="s">
        <v>105</v>
      </c>
      <c r="I149" s="21">
        <v>48.21</v>
      </c>
      <c r="J149" s="21">
        <v>0</v>
      </c>
      <c r="K149" s="18">
        <v>48.21</v>
      </c>
      <c r="L149" s="19">
        <f t="shared" si="5"/>
        <v>-24</v>
      </c>
      <c r="M149" s="20">
        <f t="shared" si="6"/>
        <v>-1157.04</v>
      </c>
    </row>
    <row r="150" spans="1:13" s="1" customFormat="1" ht="12.75">
      <c r="A150" s="15" t="s">
        <v>60</v>
      </c>
      <c r="B150" s="16">
        <v>1858</v>
      </c>
      <c r="C150" s="17">
        <v>42699</v>
      </c>
      <c r="D150" s="22" t="str">
        <f>"3880"</f>
        <v>3880</v>
      </c>
      <c r="E150" s="17">
        <v>42424</v>
      </c>
      <c r="F150" s="17">
        <v>42707</v>
      </c>
      <c r="G150" s="17">
        <v>42583</v>
      </c>
      <c r="H150" s="16" t="s">
        <v>105</v>
      </c>
      <c r="I150" s="16">
        <v>41.72</v>
      </c>
      <c r="J150" s="16">
        <v>7.52</v>
      </c>
      <c r="K150" s="18">
        <v>34.2</v>
      </c>
      <c r="L150" s="19">
        <f t="shared" si="5"/>
        <v>124</v>
      </c>
      <c r="M150" s="20">
        <f t="shared" si="6"/>
        <v>4240.8</v>
      </c>
    </row>
    <row r="151" spans="1:13" s="1" customFormat="1" ht="12.75">
      <c r="A151" s="15" t="s">
        <v>60</v>
      </c>
      <c r="B151" s="16">
        <v>1859</v>
      </c>
      <c r="C151" s="17">
        <v>42703</v>
      </c>
      <c r="D151" s="22" t="str">
        <f>"6966"</f>
        <v>6966</v>
      </c>
      <c r="E151" s="17">
        <v>42426</v>
      </c>
      <c r="F151" s="17">
        <v>42707</v>
      </c>
      <c r="G151" s="17">
        <v>42583</v>
      </c>
      <c r="H151" s="16" t="s">
        <v>105</v>
      </c>
      <c r="I151" s="16">
        <v>40.55</v>
      </c>
      <c r="J151" s="16">
        <v>7.31</v>
      </c>
      <c r="K151" s="18">
        <v>33.24</v>
      </c>
      <c r="L151" s="19">
        <f t="shared" si="5"/>
        <v>124</v>
      </c>
      <c r="M151" s="20">
        <f t="shared" si="6"/>
        <v>4121.76</v>
      </c>
    </row>
    <row r="152" spans="1:13" s="1" customFormat="1" ht="12.75">
      <c r="A152" s="15" t="s">
        <v>60</v>
      </c>
      <c r="B152" s="16">
        <v>1859</v>
      </c>
      <c r="C152" s="17">
        <v>42703</v>
      </c>
      <c r="D152" s="22" t="str">
        <f>"6967"</f>
        <v>6967</v>
      </c>
      <c r="E152" s="17">
        <v>42426</v>
      </c>
      <c r="F152" s="17">
        <v>42707</v>
      </c>
      <c r="G152" s="17">
        <v>42583</v>
      </c>
      <c r="H152" s="16" t="s">
        <v>105</v>
      </c>
      <c r="I152" s="16">
        <v>40.55</v>
      </c>
      <c r="J152" s="16">
        <v>7.31</v>
      </c>
      <c r="K152" s="18">
        <v>33.24</v>
      </c>
      <c r="L152" s="19">
        <f t="shared" si="5"/>
        <v>124</v>
      </c>
      <c r="M152" s="20">
        <f t="shared" si="6"/>
        <v>4121.76</v>
      </c>
    </row>
    <row r="153" spans="1:13" s="1" customFormat="1" ht="12.75">
      <c r="A153" s="15" t="s">
        <v>60</v>
      </c>
      <c r="B153" s="16">
        <v>1859</v>
      </c>
      <c r="C153" s="17">
        <v>42703</v>
      </c>
      <c r="D153" s="22" t="str">
        <f>"6968"</f>
        <v>6968</v>
      </c>
      <c r="E153" s="17">
        <v>42426</v>
      </c>
      <c r="F153" s="17">
        <v>42707</v>
      </c>
      <c r="G153" s="17">
        <v>42583</v>
      </c>
      <c r="H153" s="16" t="s">
        <v>105</v>
      </c>
      <c r="I153" s="16">
        <v>40.55</v>
      </c>
      <c r="J153" s="16">
        <v>7.31</v>
      </c>
      <c r="K153" s="18">
        <v>33.24</v>
      </c>
      <c r="L153" s="19">
        <f t="shared" si="5"/>
        <v>124</v>
      </c>
      <c r="M153" s="20">
        <f t="shared" si="6"/>
        <v>4121.76</v>
      </c>
    </row>
    <row r="154" spans="1:13" s="1" customFormat="1" ht="12.75">
      <c r="A154" s="15" t="s">
        <v>60</v>
      </c>
      <c r="B154" s="16">
        <v>1860</v>
      </c>
      <c r="C154" s="17">
        <v>42703</v>
      </c>
      <c r="D154" s="22" t="str">
        <f>"18024"</f>
        <v>18024</v>
      </c>
      <c r="E154" s="17">
        <v>42509</v>
      </c>
      <c r="F154" s="17">
        <v>42707</v>
      </c>
      <c r="G154" s="17">
        <v>42727</v>
      </c>
      <c r="H154" s="16" t="s">
        <v>105</v>
      </c>
      <c r="I154" s="16">
        <v>36.6</v>
      </c>
      <c r="J154" s="16">
        <v>6.6</v>
      </c>
      <c r="K154" s="18">
        <v>30</v>
      </c>
      <c r="L154" s="19">
        <f t="shared" si="5"/>
        <v>-20</v>
      </c>
      <c r="M154" s="20">
        <f t="shared" si="6"/>
        <v>-600</v>
      </c>
    </row>
    <row r="155" spans="1:13" s="1" customFormat="1" ht="12.75">
      <c r="A155" s="15" t="s">
        <v>60</v>
      </c>
      <c r="B155" s="16">
        <v>1860</v>
      </c>
      <c r="C155" s="17">
        <v>42703</v>
      </c>
      <c r="D155" s="22" t="str">
        <f>"18026"</f>
        <v>18026</v>
      </c>
      <c r="E155" s="17">
        <v>42509</v>
      </c>
      <c r="F155" s="17">
        <v>42707</v>
      </c>
      <c r="G155" s="17">
        <v>42727</v>
      </c>
      <c r="H155" s="16" t="s">
        <v>105</v>
      </c>
      <c r="I155" s="16">
        <v>36.6</v>
      </c>
      <c r="J155" s="16">
        <v>6.6</v>
      </c>
      <c r="K155" s="18">
        <v>30</v>
      </c>
      <c r="L155" s="19">
        <f t="shared" si="5"/>
        <v>-20</v>
      </c>
      <c r="M155" s="20">
        <f t="shared" si="6"/>
        <v>-600</v>
      </c>
    </row>
    <row r="156" spans="1:13" s="1" customFormat="1" ht="12.75">
      <c r="A156" s="15" t="s">
        <v>60</v>
      </c>
      <c r="B156" s="16">
        <v>1860</v>
      </c>
      <c r="C156" s="17">
        <v>42703</v>
      </c>
      <c r="D156" s="22" t="str">
        <f>"18027"</f>
        <v>18027</v>
      </c>
      <c r="E156" s="17">
        <v>42509</v>
      </c>
      <c r="F156" s="17">
        <v>42707</v>
      </c>
      <c r="G156" s="17">
        <v>42727</v>
      </c>
      <c r="H156" s="16" t="s">
        <v>105</v>
      </c>
      <c r="I156" s="16">
        <v>36.6</v>
      </c>
      <c r="J156" s="16">
        <v>6.6</v>
      </c>
      <c r="K156" s="18">
        <v>30</v>
      </c>
      <c r="L156" s="19">
        <f t="shared" si="5"/>
        <v>-20</v>
      </c>
      <c r="M156" s="20">
        <f t="shared" si="6"/>
        <v>-600</v>
      </c>
    </row>
    <row r="157" spans="1:13" s="1" customFormat="1" ht="12.75">
      <c r="A157" s="15" t="s">
        <v>60</v>
      </c>
      <c r="B157" s="16">
        <v>1860</v>
      </c>
      <c r="C157" s="17">
        <v>42703</v>
      </c>
      <c r="D157" s="16" t="str">
        <f>"20290"</f>
        <v>20290</v>
      </c>
      <c r="E157" s="17">
        <v>42577</v>
      </c>
      <c r="F157" s="17">
        <v>42707</v>
      </c>
      <c r="G157" s="17">
        <v>42617</v>
      </c>
      <c r="H157" s="16" t="s">
        <v>105</v>
      </c>
      <c r="I157" s="21">
        <v>36.6</v>
      </c>
      <c r="J157" s="21">
        <v>6.6</v>
      </c>
      <c r="K157" s="18">
        <v>30</v>
      </c>
      <c r="L157" s="19">
        <f t="shared" si="5"/>
        <v>90</v>
      </c>
      <c r="M157" s="20">
        <f t="shared" si="6"/>
        <v>2700</v>
      </c>
    </row>
    <row r="158" spans="1:13" s="1" customFormat="1" ht="26.25">
      <c r="A158" s="15" t="s">
        <v>61</v>
      </c>
      <c r="B158" s="16">
        <v>1861</v>
      </c>
      <c r="C158" s="17">
        <v>42703</v>
      </c>
      <c r="D158" s="16" t="s">
        <v>62</v>
      </c>
      <c r="E158" s="17">
        <v>42688</v>
      </c>
      <c r="F158" s="17">
        <v>42703</v>
      </c>
      <c r="G158" s="17">
        <v>42718</v>
      </c>
      <c r="H158" s="16" t="s">
        <v>114</v>
      </c>
      <c r="I158" s="16">
        <v>1830</v>
      </c>
      <c r="J158" s="16">
        <v>0</v>
      </c>
      <c r="K158" s="18">
        <v>1830</v>
      </c>
      <c r="L158" s="19">
        <f t="shared" si="5"/>
        <v>-15</v>
      </c>
      <c r="M158" s="20">
        <f t="shared" si="6"/>
        <v>-27450</v>
      </c>
    </row>
    <row r="159" spans="1:13" s="1" customFormat="1" ht="12.75">
      <c r="A159" s="15" t="s">
        <v>202</v>
      </c>
      <c r="B159" s="16">
        <v>1862</v>
      </c>
      <c r="C159" s="17">
        <v>42703</v>
      </c>
      <c r="D159" s="16" t="s">
        <v>204</v>
      </c>
      <c r="E159" s="17">
        <v>42674</v>
      </c>
      <c r="F159" s="17">
        <v>42703</v>
      </c>
      <c r="G159" s="17">
        <v>42725</v>
      </c>
      <c r="H159" s="16" t="s">
        <v>105</v>
      </c>
      <c r="I159" s="16">
        <v>77.25</v>
      </c>
      <c r="J159" s="16">
        <v>13.93</v>
      </c>
      <c r="K159" s="18">
        <v>63.32</v>
      </c>
      <c r="L159" s="19">
        <f t="shared" si="5"/>
        <v>-22</v>
      </c>
      <c r="M159" s="20">
        <f t="shared" si="6"/>
        <v>-1393.04</v>
      </c>
    </row>
    <row r="160" spans="1:13" s="1" customFormat="1" ht="12.75">
      <c r="A160" s="15" t="s">
        <v>28</v>
      </c>
      <c r="B160" s="16">
        <v>1863</v>
      </c>
      <c r="C160" s="17">
        <v>42703</v>
      </c>
      <c r="D160" s="16" t="s">
        <v>137</v>
      </c>
      <c r="E160" s="17">
        <v>42670</v>
      </c>
      <c r="F160" s="17">
        <v>42703</v>
      </c>
      <c r="G160" s="17">
        <v>42731</v>
      </c>
      <c r="H160" s="16" t="s">
        <v>105</v>
      </c>
      <c r="I160" s="16">
        <v>101640</v>
      </c>
      <c r="J160" s="16">
        <v>9240</v>
      </c>
      <c r="K160" s="18">
        <v>92400</v>
      </c>
      <c r="L160" s="19">
        <f t="shared" si="5"/>
        <v>-28</v>
      </c>
      <c r="M160" s="20">
        <f t="shared" si="6"/>
        <v>-2587200</v>
      </c>
    </row>
    <row r="161" spans="1:13" s="1" customFormat="1" ht="12.75">
      <c r="A161" s="15" t="s">
        <v>202</v>
      </c>
      <c r="B161" s="16">
        <v>1864</v>
      </c>
      <c r="C161" s="17">
        <v>42703</v>
      </c>
      <c r="D161" s="16" t="s">
        <v>203</v>
      </c>
      <c r="E161" s="17">
        <v>42674</v>
      </c>
      <c r="F161" s="17">
        <v>42703</v>
      </c>
      <c r="G161" s="17">
        <v>42725</v>
      </c>
      <c r="H161" s="16" t="s">
        <v>105</v>
      </c>
      <c r="I161" s="16">
        <v>211.23</v>
      </c>
      <c r="J161" s="16">
        <v>38.09</v>
      </c>
      <c r="K161" s="18">
        <v>173.14</v>
      </c>
      <c r="L161" s="19">
        <f t="shared" si="5"/>
        <v>-22</v>
      </c>
      <c r="M161" s="20">
        <f t="shared" si="6"/>
        <v>-3809.08</v>
      </c>
    </row>
    <row r="162" spans="1:13" s="1" customFormat="1" ht="12.75">
      <c r="A162" s="15" t="s">
        <v>16</v>
      </c>
      <c r="B162" s="16">
        <v>1867</v>
      </c>
      <c r="C162" s="17">
        <v>42703</v>
      </c>
      <c r="D162" s="22" t="str">
        <f>"16092"</f>
        <v>16092</v>
      </c>
      <c r="E162" s="17">
        <v>42674</v>
      </c>
      <c r="F162" s="17">
        <v>42703</v>
      </c>
      <c r="G162" s="17">
        <v>42713</v>
      </c>
      <c r="H162" s="16" t="s">
        <v>105</v>
      </c>
      <c r="I162" s="16">
        <v>1635.86</v>
      </c>
      <c r="J162" s="16">
        <v>294.99</v>
      </c>
      <c r="K162" s="18">
        <v>1340.87</v>
      </c>
      <c r="L162" s="19">
        <f t="shared" si="5"/>
        <v>-10</v>
      </c>
      <c r="M162" s="20">
        <f t="shared" si="6"/>
        <v>-13408.699999999999</v>
      </c>
    </row>
    <row r="163" spans="1:13" s="1" customFormat="1" ht="26.25">
      <c r="A163" s="15" t="s">
        <v>120</v>
      </c>
      <c r="B163" s="16">
        <v>1868</v>
      </c>
      <c r="C163" s="17">
        <v>42703</v>
      </c>
      <c r="D163" s="22" t="s">
        <v>4</v>
      </c>
      <c r="E163" s="17">
        <v>42674</v>
      </c>
      <c r="F163" s="17">
        <v>42703</v>
      </c>
      <c r="G163" s="17">
        <v>42721</v>
      </c>
      <c r="H163" s="16" t="s">
        <v>105</v>
      </c>
      <c r="I163" s="16">
        <v>645.94</v>
      </c>
      <c r="J163" s="16">
        <v>116.48</v>
      </c>
      <c r="K163" s="18">
        <v>529.46</v>
      </c>
      <c r="L163" s="19">
        <f t="shared" si="5"/>
        <v>-18</v>
      </c>
      <c r="M163" s="20">
        <f t="shared" si="6"/>
        <v>-9530.28</v>
      </c>
    </row>
    <row r="164" spans="1:13" s="1" customFormat="1" ht="12.75">
      <c r="A164" s="15" t="s">
        <v>112</v>
      </c>
      <c r="B164" s="16">
        <v>1869</v>
      </c>
      <c r="C164" s="17">
        <v>42703</v>
      </c>
      <c r="D164" s="16" t="s">
        <v>79</v>
      </c>
      <c r="E164" s="17">
        <v>42674</v>
      </c>
      <c r="F164" s="17">
        <v>42703</v>
      </c>
      <c r="G164" s="17">
        <v>42722</v>
      </c>
      <c r="H164" s="16" t="s">
        <v>114</v>
      </c>
      <c r="I164" s="16">
        <v>1145.58</v>
      </c>
      <c r="J164" s="16">
        <v>206.58</v>
      </c>
      <c r="K164" s="18">
        <v>939</v>
      </c>
      <c r="L164" s="19">
        <f t="shared" si="5"/>
        <v>-19</v>
      </c>
      <c r="M164" s="20">
        <f t="shared" si="6"/>
        <v>-17841</v>
      </c>
    </row>
    <row r="165" spans="1:13" s="1" customFormat="1" ht="26.25">
      <c r="A165" s="15" t="s">
        <v>205</v>
      </c>
      <c r="B165" s="16">
        <v>1870</v>
      </c>
      <c r="C165" s="17">
        <v>42703</v>
      </c>
      <c r="D165" s="16" t="s">
        <v>206</v>
      </c>
      <c r="E165" s="17">
        <v>42663</v>
      </c>
      <c r="F165" s="17">
        <v>42703</v>
      </c>
      <c r="G165" s="17">
        <v>42704</v>
      </c>
      <c r="H165" s="16" t="s">
        <v>105</v>
      </c>
      <c r="I165" s="16">
        <v>1677.5</v>
      </c>
      <c r="J165" s="16">
        <v>302.5</v>
      </c>
      <c r="K165" s="18">
        <v>1375</v>
      </c>
      <c r="L165" s="19">
        <f t="shared" si="5"/>
        <v>-1</v>
      </c>
      <c r="M165" s="20">
        <f t="shared" si="6"/>
        <v>-1375</v>
      </c>
    </row>
    <row r="166" spans="1:13" s="1" customFormat="1" ht="26.25">
      <c r="A166" s="15" t="s">
        <v>173</v>
      </c>
      <c r="B166" s="16">
        <v>1871</v>
      </c>
      <c r="C166" s="17">
        <v>42703</v>
      </c>
      <c r="D166" s="16" t="str">
        <f>"704"</f>
        <v>704</v>
      </c>
      <c r="E166" s="17">
        <v>42698</v>
      </c>
      <c r="F166" s="17">
        <v>42703</v>
      </c>
      <c r="G166" s="17">
        <v>42758</v>
      </c>
      <c r="H166" s="16" t="s">
        <v>105</v>
      </c>
      <c r="I166" s="21">
        <v>341.6</v>
      </c>
      <c r="J166" s="16">
        <v>61.6</v>
      </c>
      <c r="K166" s="18">
        <v>280</v>
      </c>
      <c r="L166" s="19">
        <f t="shared" si="5"/>
        <v>-55</v>
      </c>
      <c r="M166" s="20">
        <f t="shared" si="6"/>
        <v>-15400</v>
      </c>
    </row>
    <row r="167" spans="1:13" s="1" customFormat="1" ht="12.75">
      <c r="A167" s="15" t="s">
        <v>127</v>
      </c>
      <c r="B167" s="16">
        <v>1872</v>
      </c>
      <c r="C167" s="17">
        <v>42703</v>
      </c>
      <c r="D167" s="16" t="s">
        <v>128</v>
      </c>
      <c r="E167" s="17">
        <v>42698</v>
      </c>
      <c r="F167" s="17">
        <v>42703</v>
      </c>
      <c r="G167" s="17">
        <v>42728</v>
      </c>
      <c r="H167" s="16" t="s">
        <v>105</v>
      </c>
      <c r="I167" s="16">
        <v>732</v>
      </c>
      <c r="J167" s="16">
        <v>132</v>
      </c>
      <c r="K167" s="18">
        <v>600</v>
      </c>
      <c r="L167" s="19">
        <f t="shared" si="5"/>
        <v>-25</v>
      </c>
      <c r="M167" s="20">
        <f t="shared" si="6"/>
        <v>-15000</v>
      </c>
    </row>
    <row r="168" spans="1:13" s="1" customFormat="1" ht="12.75">
      <c r="A168" s="15" t="s">
        <v>103</v>
      </c>
      <c r="B168" s="16">
        <v>1876</v>
      </c>
      <c r="C168" s="17">
        <v>42709</v>
      </c>
      <c r="D168" s="22" t="s">
        <v>10</v>
      </c>
      <c r="E168" s="17">
        <v>42587</v>
      </c>
      <c r="F168" s="17">
        <v>42709</v>
      </c>
      <c r="G168" s="17">
        <v>42689</v>
      </c>
      <c r="H168" s="16" t="s">
        <v>105</v>
      </c>
      <c r="I168" s="16">
        <v>140.17</v>
      </c>
      <c r="J168" s="16">
        <v>25.28</v>
      </c>
      <c r="K168" s="18">
        <v>114.89</v>
      </c>
      <c r="L168" s="19">
        <f t="shared" si="5"/>
        <v>20</v>
      </c>
      <c r="M168" s="20">
        <f t="shared" si="6"/>
        <v>2297.8</v>
      </c>
    </row>
    <row r="169" spans="1:13" s="1" customFormat="1" ht="12.75">
      <c r="A169" s="15" t="s">
        <v>103</v>
      </c>
      <c r="B169" s="16">
        <v>1876</v>
      </c>
      <c r="C169" s="17">
        <v>42709</v>
      </c>
      <c r="D169" s="22" t="s">
        <v>12</v>
      </c>
      <c r="E169" s="17">
        <v>42587</v>
      </c>
      <c r="F169" s="17">
        <v>42709</v>
      </c>
      <c r="G169" s="17">
        <v>42689</v>
      </c>
      <c r="H169" s="16" t="s">
        <v>105</v>
      </c>
      <c r="I169" s="16">
        <v>66.86</v>
      </c>
      <c r="J169" s="16">
        <v>12.06</v>
      </c>
      <c r="K169" s="18">
        <v>54.8</v>
      </c>
      <c r="L169" s="19">
        <f t="shared" si="5"/>
        <v>20</v>
      </c>
      <c r="M169" s="20">
        <f t="shared" si="6"/>
        <v>1096</v>
      </c>
    </row>
    <row r="170" spans="1:13" s="1" customFormat="1" ht="12.75">
      <c r="A170" s="15" t="s">
        <v>103</v>
      </c>
      <c r="B170" s="16">
        <v>1876</v>
      </c>
      <c r="C170" s="17">
        <v>42709</v>
      </c>
      <c r="D170" s="16" t="s">
        <v>13</v>
      </c>
      <c r="E170" s="17">
        <v>42587</v>
      </c>
      <c r="F170" s="17">
        <v>42709</v>
      </c>
      <c r="G170" s="17">
        <v>42689</v>
      </c>
      <c r="H170" s="16" t="s">
        <v>105</v>
      </c>
      <c r="I170" s="16">
        <v>67.72</v>
      </c>
      <c r="J170" s="16">
        <v>12.21</v>
      </c>
      <c r="K170" s="18">
        <v>55.51</v>
      </c>
      <c r="L170" s="19">
        <f t="shared" si="5"/>
        <v>20</v>
      </c>
      <c r="M170" s="20">
        <f t="shared" si="6"/>
        <v>1110.2</v>
      </c>
    </row>
    <row r="171" spans="1:13" s="1" customFormat="1" ht="12.75">
      <c r="A171" s="15" t="s">
        <v>103</v>
      </c>
      <c r="B171" s="16">
        <v>1877</v>
      </c>
      <c r="C171" s="17">
        <v>42709</v>
      </c>
      <c r="D171" s="22" t="s">
        <v>8</v>
      </c>
      <c r="E171" s="17">
        <v>42587</v>
      </c>
      <c r="F171" s="17">
        <v>42709</v>
      </c>
      <c r="G171" s="17">
        <v>42689</v>
      </c>
      <c r="H171" s="16" t="s">
        <v>105</v>
      </c>
      <c r="I171" s="16">
        <v>77.18</v>
      </c>
      <c r="J171" s="16">
        <v>13.92</v>
      </c>
      <c r="K171" s="18">
        <v>63.26</v>
      </c>
      <c r="L171" s="19">
        <f t="shared" si="5"/>
        <v>20</v>
      </c>
      <c r="M171" s="20">
        <f t="shared" si="6"/>
        <v>1265.2</v>
      </c>
    </row>
    <row r="172" spans="1:13" s="1" customFormat="1" ht="12.75">
      <c r="A172" s="15" t="s">
        <v>103</v>
      </c>
      <c r="B172" s="16">
        <v>1878</v>
      </c>
      <c r="C172" s="17">
        <v>42709</v>
      </c>
      <c r="D172" s="22" t="s">
        <v>9</v>
      </c>
      <c r="E172" s="17">
        <v>42587</v>
      </c>
      <c r="F172" s="17">
        <v>42709</v>
      </c>
      <c r="G172" s="17">
        <v>42689</v>
      </c>
      <c r="H172" s="16" t="s">
        <v>105</v>
      </c>
      <c r="I172" s="16">
        <v>144.35</v>
      </c>
      <c r="J172" s="16">
        <v>26.03</v>
      </c>
      <c r="K172" s="18">
        <v>118.32</v>
      </c>
      <c r="L172" s="19">
        <f t="shared" si="5"/>
        <v>20</v>
      </c>
      <c r="M172" s="20">
        <f t="shared" si="6"/>
        <v>2366.3999999999996</v>
      </c>
    </row>
    <row r="173" spans="1:13" s="1" customFormat="1" ht="12.75">
      <c r="A173" s="15" t="s">
        <v>103</v>
      </c>
      <c r="B173" s="16">
        <v>1879</v>
      </c>
      <c r="C173" s="17">
        <v>42709</v>
      </c>
      <c r="D173" s="22" t="s">
        <v>7</v>
      </c>
      <c r="E173" s="17">
        <v>42587</v>
      </c>
      <c r="F173" s="17">
        <v>42709</v>
      </c>
      <c r="G173" s="17">
        <v>42689</v>
      </c>
      <c r="H173" s="16" t="s">
        <v>105</v>
      </c>
      <c r="I173" s="16">
        <v>136.15</v>
      </c>
      <c r="J173" s="16">
        <v>24.55</v>
      </c>
      <c r="K173" s="18">
        <v>111.6</v>
      </c>
      <c r="L173" s="19">
        <f>+F173-G173</f>
        <v>20</v>
      </c>
      <c r="M173" s="20">
        <f t="shared" si="6"/>
        <v>2232</v>
      </c>
    </row>
    <row r="174" spans="1:13" s="1" customFormat="1" ht="12.75">
      <c r="A174" s="15" t="s">
        <v>103</v>
      </c>
      <c r="B174" s="16">
        <v>1880</v>
      </c>
      <c r="C174" s="17">
        <v>42709</v>
      </c>
      <c r="D174" s="22" t="s">
        <v>11</v>
      </c>
      <c r="E174" s="17">
        <v>42587</v>
      </c>
      <c r="F174" s="17">
        <v>42709</v>
      </c>
      <c r="G174" s="17">
        <v>42689</v>
      </c>
      <c r="H174" s="16" t="s">
        <v>105</v>
      </c>
      <c r="I174" s="16">
        <v>82.92</v>
      </c>
      <c r="J174" s="16">
        <v>14.95</v>
      </c>
      <c r="K174" s="18">
        <v>67.97</v>
      </c>
      <c r="L174" s="19">
        <f t="shared" si="5"/>
        <v>20</v>
      </c>
      <c r="M174" s="20">
        <f t="shared" si="6"/>
        <v>1359.4</v>
      </c>
    </row>
    <row r="175" spans="1:13" s="1" customFormat="1" ht="26.25">
      <c r="A175" s="15" t="s">
        <v>124</v>
      </c>
      <c r="B175" s="16">
        <v>1881</v>
      </c>
      <c r="C175" s="17">
        <v>42709</v>
      </c>
      <c r="D175" s="22" t="s">
        <v>125</v>
      </c>
      <c r="E175" s="17">
        <v>42633</v>
      </c>
      <c r="F175" s="17">
        <v>42709</v>
      </c>
      <c r="G175" s="17">
        <v>42663</v>
      </c>
      <c r="H175" s="16" t="s">
        <v>114</v>
      </c>
      <c r="I175" s="16">
        <v>1394</v>
      </c>
      <c r="J175" s="16">
        <v>0</v>
      </c>
      <c r="K175" s="18">
        <v>1394</v>
      </c>
      <c r="L175" s="19">
        <f t="shared" si="5"/>
        <v>46</v>
      </c>
      <c r="M175" s="20">
        <f t="shared" si="6"/>
        <v>64124</v>
      </c>
    </row>
    <row r="176" spans="1:13" s="1" customFormat="1" ht="12.75">
      <c r="A176" s="15" t="s">
        <v>24</v>
      </c>
      <c r="B176" s="16">
        <v>1882</v>
      </c>
      <c r="C176" s="17">
        <v>42709</v>
      </c>
      <c r="D176" s="16" t="s">
        <v>74</v>
      </c>
      <c r="E176" s="17">
        <v>42692</v>
      </c>
      <c r="F176" s="17">
        <v>42709</v>
      </c>
      <c r="G176" s="17">
        <v>42728</v>
      </c>
      <c r="H176" s="16" t="s">
        <v>114</v>
      </c>
      <c r="I176" s="16">
        <v>636.5</v>
      </c>
      <c r="J176" s="16">
        <v>0</v>
      </c>
      <c r="K176" s="18">
        <v>636.5</v>
      </c>
      <c r="L176" s="19">
        <f t="shared" si="5"/>
        <v>-19</v>
      </c>
      <c r="M176" s="20">
        <f t="shared" si="6"/>
        <v>-12093.5</v>
      </c>
    </row>
    <row r="177" spans="1:13" s="1" customFormat="1" ht="12.75">
      <c r="A177" s="15" t="s">
        <v>24</v>
      </c>
      <c r="B177" s="16">
        <v>1882</v>
      </c>
      <c r="C177" s="17">
        <v>42709</v>
      </c>
      <c r="D177" s="16" t="s">
        <v>75</v>
      </c>
      <c r="E177" s="17">
        <v>42692</v>
      </c>
      <c r="F177" s="17">
        <v>42709</v>
      </c>
      <c r="G177" s="17">
        <v>42728</v>
      </c>
      <c r="H177" s="16" t="s">
        <v>114</v>
      </c>
      <c r="I177" s="16">
        <v>173.18</v>
      </c>
      <c r="J177" s="16">
        <v>31.23</v>
      </c>
      <c r="K177" s="18">
        <v>141.95</v>
      </c>
      <c r="L177" s="19">
        <f t="shared" si="5"/>
        <v>-19</v>
      </c>
      <c r="M177" s="20">
        <f t="shared" si="6"/>
        <v>-2697.0499999999997</v>
      </c>
    </row>
    <row r="178" spans="1:13" s="1" customFormat="1" ht="12.75">
      <c r="A178" s="15" t="s">
        <v>24</v>
      </c>
      <c r="B178" s="16">
        <v>1882</v>
      </c>
      <c r="C178" s="17">
        <v>42709</v>
      </c>
      <c r="D178" s="16" t="s">
        <v>76</v>
      </c>
      <c r="E178" s="17">
        <v>42692</v>
      </c>
      <c r="F178" s="17">
        <v>42709</v>
      </c>
      <c r="G178" s="17">
        <v>42728</v>
      </c>
      <c r="H178" s="16" t="s">
        <v>114</v>
      </c>
      <c r="I178" s="16">
        <v>155.9</v>
      </c>
      <c r="J178" s="16">
        <v>28.11</v>
      </c>
      <c r="K178" s="18">
        <v>127.79</v>
      </c>
      <c r="L178" s="19">
        <f t="shared" si="5"/>
        <v>-19</v>
      </c>
      <c r="M178" s="20">
        <f t="shared" si="6"/>
        <v>-2428.01</v>
      </c>
    </row>
    <row r="179" spans="1:13" s="1" customFormat="1" ht="12.75">
      <c r="A179" s="15" t="s">
        <v>24</v>
      </c>
      <c r="B179" s="16">
        <v>1882</v>
      </c>
      <c r="C179" s="17">
        <v>42709</v>
      </c>
      <c r="D179" s="16" t="s">
        <v>74</v>
      </c>
      <c r="E179" s="17">
        <v>42692</v>
      </c>
      <c r="F179" s="17">
        <v>42709</v>
      </c>
      <c r="G179" s="17">
        <v>42728</v>
      </c>
      <c r="H179" s="16" t="s">
        <v>114</v>
      </c>
      <c r="I179" s="16">
        <v>160.8</v>
      </c>
      <c r="J179" s="16">
        <v>29</v>
      </c>
      <c r="K179" s="18">
        <v>131.8</v>
      </c>
      <c r="L179" s="19">
        <f t="shared" si="5"/>
        <v>-19</v>
      </c>
      <c r="M179" s="20">
        <f t="shared" si="6"/>
        <v>-2504.2000000000003</v>
      </c>
    </row>
    <row r="180" spans="1:13" s="1" customFormat="1" ht="12.75">
      <c r="A180" s="15" t="s">
        <v>24</v>
      </c>
      <c r="B180" s="16">
        <v>1882</v>
      </c>
      <c r="C180" s="17">
        <v>42709</v>
      </c>
      <c r="D180" s="16" t="s">
        <v>75</v>
      </c>
      <c r="E180" s="17">
        <v>42692</v>
      </c>
      <c r="F180" s="17">
        <v>42709</v>
      </c>
      <c r="G180" s="17">
        <v>42728</v>
      </c>
      <c r="H180" s="16" t="s">
        <v>114</v>
      </c>
      <c r="I180" s="16">
        <v>685.52</v>
      </c>
      <c r="J180" s="16">
        <v>0</v>
      </c>
      <c r="K180" s="18">
        <v>685.52</v>
      </c>
      <c r="L180" s="19">
        <f t="shared" si="5"/>
        <v>-19</v>
      </c>
      <c r="M180" s="20">
        <f t="shared" si="6"/>
        <v>-13024.88</v>
      </c>
    </row>
    <row r="181" spans="1:13" s="1" customFormat="1" ht="12.75">
      <c r="A181" s="15" t="s">
        <v>24</v>
      </c>
      <c r="B181" s="16">
        <v>1882</v>
      </c>
      <c r="C181" s="17">
        <v>42709</v>
      </c>
      <c r="D181" s="16" t="s">
        <v>76</v>
      </c>
      <c r="E181" s="17">
        <v>42692</v>
      </c>
      <c r="F181" s="17">
        <v>42709</v>
      </c>
      <c r="G181" s="17">
        <v>42728</v>
      </c>
      <c r="H181" s="16" t="s">
        <v>114</v>
      </c>
      <c r="I181" s="16">
        <v>617.12</v>
      </c>
      <c r="J181" s="16">
        <v>0</v>
      </c>
      <c r="K181" s="18">
        <v>617.12</v>
      </c>
      <c r="L181" s="19">
        <f t="shared" si="5"/>
        <v>-19</v>
      </c>
      <c r="M181" s="20">
        <f t="shared" si="6"/>
        <v>-11725.28</v>
      </c>
    </row>
    <row r="182" spans="1:13" s="1" customFormat="1" ht="12.75">
      <c r="A182" s="15" t="s">
        <v>30</v>
      </c>
      <c r="B182" s="16">
        <v>1883</v>
      </c>
      <c r="C182" s="17">
        <v>42709</v>
      </c>
      <c r="D182" s="22" t="s">
        <v>31</v>
      </c>
      <c r="E182" s="17">
        <v>42678</v>
      </c>
      <c r="F182" s="17">
        <v>42709</v>
      </c>
      <c r="G182" s="17">
        <v>42708</v>
      </c>
      <c r="H182" s="16" t="s">
        <v>114</v>
      </c>
      <c r="I182" s="16">
        <v>729.56</v>
      </c>
      <c r="J182" s="16">
        <v>0</v>
      </c>
      <c r="K182" s="18">
        <v>729.56</v>
      </c>
      <c r="L182" s="19">
        <f t="shared" si="5"/>
        <v>1</v>
      </c>
      <c r="M182" s="20">
        <f t="shared" si="6"/>
        <v>729.56</v>
      </c>
    </row>
    <row r="183" spans="1:13" s="1" customFormat="1" ht="12.75">
      <c r="A183" s="15" t="s">
        <v>66</v>
      </c>
      <c r="B183" s="16">
        <v>1884</v>
      </c>
      <c r="C183" s="17">
        <v>42709</v>
      </c>
      <c r="D183" s="16" t="s">
        <v>67</v>
      </c>
      <c r="E183" s="17">
        <v>42695</v>
      </c>
      <c r="F183" s="17">
        <v>42709</v>
      </c>
      <c r="G183" s="17">
        <v>42725</v>
      </c>
      <c r="H183" s="16" t="s">
        <v>114</v>
      </c>
      <c r="I183" s="21">
        <v>6344</v>
      </c>
      <c r="J183" s="16">
        <v>1144</v>
      </c>
      <c r="K183" s="18">
        <v>5200</v>
      </c>
      <c r="L183" s="19">
        <f t="shared" si="5"/>
        <v>-16</v>
      </c>
      <c r="M183" s="20">
        <f t="shared" si="6"/>
        <v>-83200</v>
      </c>
    </row>
    <row r="184" spans="1:13" s="1" customFormat="1" ht="12.75">
      <c r="A184" s="15" t="s">
        <v>177</v>
      </c>
      <c r="B184" s="16">
        <v>1885</v>
      </c>
      <c r="C184" s="17">
        <v>42709</v>
      </c>
      <c r="D184" s="16" t="s">
        <v>178</v>
      </c>
      <c r="E184" s="17">
        <v>42697</v>
      </c>
      <c r="F184" s="17">
        <v>42709</v>
      </c>
      <c r="G184" s="17">
        <v>42766</v>
      </c>
      <c r="H184" s="16" t="s">
        <v>105</v>
      </c>
      <c r="I184" s="16">
        <v>283733.42</v>
      </c>
      <c r="J184" s="16">
        <v>51165.04</v>
      </c>
      <c r="K184" s="18">
        <v>232568.38</v>
      </c>
      <c r="L184" s="19">
        <f t="shared" si="5"/>
        <v>-57</v>
      </c>
      <c r="M184" s="20">
        <f t="shared" si="6"/>
        <v>-13256397.66</v>
      </c>
    </row>
    <row r="185" spans="1:13" s="1" customFormat="1" ht="12.75">
      <c r="A185" s="15" t="s">
        <v>177</v>
      </c>
      <c r="B185" s="16">
        <v>1886</v>
      </c>
      <c r="C185" s="17">
        <v>42709</v>
      </c>
      <c r="D185" s="16" t="s">
        <v>178</v>
      </c>
      <c r="E185" s="17">
        <v>42697</v>
      </c>
      <c r="F185" s="17">
        <v>42709</v>
      </c>
      <c r="G185" s="17">
        <v>42766</v>
      </c>
      <c r="H185" s="16" t="s">
        <v>105</v>
      </c>
      <c r="I185" s="21">
        <v>38412.24</v>
      </c>
      <c r="J185" s="21">
        <v>6926.83</v>
      </c>
      <c r="K185" s="18">
        <v>31485.41</v>
      </c>
      <c r="L185" s="19">
        <f t="shared" si="5"/>
        <v>-57</v>
      </c>
      <c r="M185" s="20">
        <f t="shared" si="6"/>
        <v>-1794668.3699999999</v>
      </c>
    </row>
    <row r="186" spans="1:13" s="1" customFormat="1" ht="12.75">
      <c r="A186" s="15" t="s">
        <v>177</v>
      </c>
      <c r="B186" s="16">
        <v>1887</v>
      </c>
      <c r="C186" s="17">
        <v>42709</v>
      </c>
      <c r="D186" s="16" t="s">
        <v>178</v>
      </c>
      <c r="E186" s="17">
        <v>42697</v>
      </c>
      <c r="F186" s="17">
        <v>42709</v>
      </c>
      <c r="G186" s="17">
        <v>42766</v>
      </c>
      <c r="H186" s="16" t="s">
        <v>105</v>
      </c>
      <c r="I186" s="16">
        <v>246825</v>
      </c>
      <c r="J186" s="16">
        <v>44509.43</v>
      </c>
      <c r="K186" s="18">
        <v>202315.57</v>
      </c>
      <c r="L186" s="19">
        <f t="shared" si="5"/>
        <v>-57</v>
      </c>
      <c r="M186" s="20">
        <f t="shared" si="6"/>
        <v>-11531987.49</v>
      </c>
    </row>
    <row r="187" spans="1:13" s="1" customFormat="1" ht="12.75">
      <c r="A187" s="15" t="s">
        <v>87</v>
      </c>
      <c r="B187" s="16">
        <v>1968</v>
      </c>
      <c r="C187" s="17">
        <v>42710</v>
      </c>
      <c r="D187" s="16" t="str">
        <f>"50863"</f>
        <v>50863</v>
      </c>
      <c r="E187" s="17">
        <v>42704</v>
      </c>
      <c r="F187" s="17">
        <v>42710</v>
      </c>
      <c r="G187" s="17">
        <v>42734</v>
      </c>
      <c r="H187" s="16" t="s">
        <v>105</v>
      </c>
      <c r="I187" s="16">
        <v>1073.6</v>
      </c>
      <c r="J187" s="16">
        <v>193.6</v>
      </c>
      <c r="K187" s="18">
        <v>880</v>
      </c>
      <c r="L187" s="19">
        <f t="shared" si="5"/>
        <v>-24</v>
      </c>
      <c r="M187" s="20">
        <f t="shared" si="6"/>
        <v>-21120</v>
      </c>
    </row>
    <row r="188" spans="1:13" s="1" customFormat="1" ht="12.75">
      <c r="A188" s="15" t="s">
        <v>147</v>
      </c>
      <c r="B188" s="16">
        <v>1969</v>
      </c>
      <c r="C188" s="17">
        <v>42710</v>
      </c>
      <c r="D188" s="16" t="s">
        <v>174</v>
      </c>
      <c r="E188" s="17">
        <v>42704</v>
      </c>
      <c r="F188" s="17">
        <v>42710</v>
      </c>
      <c r="G188" s="17">
        <v>42765</v>
      </c>
      <c r="H188" s="16" t="s">
        <v>105</v>
      </c>
      <c r="I188" s="21">
        <v>6.25</v>
      </c>
      <c r="J188" s="16">
        <v>0</v>
      </c>
      <c r="K188" s="18">
        <v>6.25</v>
      </c>
      <c r="L188" s="19">
        <f t="shared" si="5"/>
        <v>-55</v>
      </c>
      <c r="M188" s="20">
        <f t="shared" si="6"/>
        <v>-343.75</v>
      </c>
    </row>
    <row r="189" spans="1:13" s="1" customFormat="1" ht="12.75">
      <c r="A189" s="15" t="s">
        <v>170</v>
      </c>
      <c r="B189" s="16">
        <v>1971</v>
      </c>
      <c r="C189" s="17">
        <v>42711</v>
      </c>
      <c r="D189" s="16" t="s">
        <v>171</v>
      </c>
      <c r="E189" s="17">
        <v>42704</v>
      </c>
      <c r="F189" s="17">
        <v>42713</v>
      </c>
      <c r="G189" s="17">
        <v>42766</v>
      </c>
      <c r="H189" s="16" t="s">
        <v>105</v>
      </c>
      <c r="I189" s="21">
        <v>995.54</v>
      </c>
      <c r="J189" s="16">
        <v>179.52</v>
      </c>
      <c r="K189" s="18">
        <v>816.02</v>
      </c>
      <c r="L189" s="19">
        <f t="shared" si="5"/>
        <v>-53</v>
      </c>
      <c r="M189" s="20">
        <f t="shared" si="6"/>
        <v>-43249.06</v>
      </c>
    </row>
    <row r="190" spans="1:13" s="1" customFormat="1" ht="12.75">
      <c r="A190" s="15" t="s">
        <v>28</v>
      </c>
      <c r="B190" s="16">
        <v>1972</v>
      </c>
      <c r="C190" s="17">
        <v>42711</v>
      </c>
      <c r="D190" s="22" t="s">
        <v>29</v>
      </c>
      <c r="E190" s="17">
        <v>42649</v>
      </c>
      <c r="F190" s="17">
        <v>42713</v>
      </c>
      <c r="G190" s="17">
        <v>42710</v>
      </c>
      <c r="H190" s="16" t="s">
        <v>105</v>
      </c>
      <c r="I190" s="16">
        <v>23313.74</v>
      </c>
      <c r="J190" s="16">
        <v>2119.43</v>
      </c>
      <c r="K190" s="18">
        <v>21194.31</v>
      </c>
      <c r="L190" s="19">
        <f t="shared" si="5"/>
        <v>3</v>
      </c>
      <c r="M190" s="20">
        <f t="shared" si="6"/>
        <v>63582.93000000001</v>
      </c>
    </row>
    <row r="191" spans="1:13" s="1" customFormat="1" ht="26.25">
      <c r="A191" s="15" t="s">
        <v>83</v>
      </c>
      <c r="B191" s="16">
        <v>1973</v>
      </c>
      <c r="C191" s="17">
        <v>42711</v>
      </c>
      <c r="D191" s="16" t="str">
        <f>"3"</f>
        <v>3</v>
      </c>
      <c r="E191" s="17">
        <v>42705</v>
      </c>
      <c r="F191" s="17">
        <v>42713</v>
      </c>
      <c r="G191" s="17">
        <v>42735</v>
      </c>
      <c r="H191" s="16" t="s">
        <v>114</v>
      </c>
      <c r="I191" s="16">
        <v>2537.6</v>
      </c>
      <c r="J191" s="16">
        <v>0</v>
      </c>
      <c r="K191" s="18">
        <v>2537.6</v>
      </c>
      <c r="L191" s="19">
        <f t="shared" si="5"/>
        <v>-22</v>
      </c>
      <c r="M191" s="20">
        <f t="shared" si="6"/>
        <v>-55827.2</v>
      </c>
    </row>
    <row r="192" spans="1:13" s="1" customFormat="1" ht="12.75">
      <c r="A192" s="15" t="s">
        <v>115</v>
      </c>
      <c r="B192" s="16">
        <v>1975</v>
      </c>
      <c r="C192" s="17">
        <v>42711</v>
      </c>
      <c r="D192" s="22" t="str">
        <f>"05000231"</f>
        <v>05000231</v>
      </c>
      <c r="E192" s="17">
        <v>42571</v>
      </c>
      <c r="F192" s="17">
        <v>42713</v>
      </c>
      <c r="G192" s="17">
        <v>42613</v>
      </c>
      <c r="H192" s="16" t="s">
        <v>105</v>
      </c>
      <c r="I192" s="16">
        <v>830.09</v>
      </c>
      <c r="J192" s="16">
        <v>149.69</v>
      </c>
      <c r="K192" s="18">
        <v>680.4</v>
      </c>
      <c r="L192" s="19">
        <f t="shared" si="5"/>
        <v>100</v>
      </c>
      <c r="M192" s="20">
        <f t="shared" si="6"/>
        <v>68040</v>
      </c>
    </row>
    <row r="193" spans="1:13" s="1" customFormat="1" ht="12.75">
      <c r="A193" s="15" t="s">
        <v>190</v>
      </c>
      <c r="B193" s="16">
        <v>1978</v>
      </c>
      <c r="C193" s="17">
        <v>42711</v>
      </c>
      <c r="D193" s="22" t="s">
        <v>50</v>
      </c>
      <c r="E193" s="17">
        <v>42705</v>
      </c>
      <c r="F193" s="17">
        <v>42713</v>
      </c>
      <c r="G193" s="17">
        <v>42725</v>
      </c>
      <c r="H193" s="16" t="s">
        <v>105</v>
      </c>
      <c r="I193" s="16">
        <v>932.02</v>
      </c>
      <c r="J193" s="16">
        <v>168.07</v>
      </c>
      <c r="K193" s="18">
        <v>763.95</v>
      </c>
      <c r="L193" s="19">
        <f t="shared" si="5"/>
        <v>-12</v>
      </c>
      <c r="M193" s="20">
        <f t="shared" si="6"/>
        <v>-9167.400000000001</v>
      </c>
    </row>
    <row r="194" spans="1:13" s="1" customFormat="1" ht="12.75">
      <c r="A194" s="15" t="s">
        <v>190</v>
      </c>
      <c r="B194" s="16">
        <v>1979</v>
      </c>
      <c r="C194" s="17">
        <v>42711</v>
      </c>
      <c r="D194" s="22" t="s">
        <v>58</v>
      </c>
      <c r="E194" s="17">
        <v>42705</v>
      </c>
      <c r="F194" s="17">
        <v>42713</v>
      </c>
      <c r="G194" s="17">
        <v>42725</v>
      </c>
      <c r="H194" s="16" t="s">
        <v>105</v>
      </c>
      <c r="I194" s="16">
        <v>399.73</v>
      </c>
      <c r="J194" s="16">
        <v>72.08</v>
      </c>
      <c r="K194" s="18">
        <v>327.65</v>
      </c>
      <c r="L194" s="19">
        <f t="shared" si="5"/>
        <v>-12</v>
      </c>
      <c r="M194" s="20">
        <f t="shared" si="6"/>
        <v>-3931.7999999999997</v>
      </c>
    </row>
    <row r="195" spans="1:13" s="1" customFormat="1" ht="12.75">
      <c r="A195" s="15" t="s">
        <v>190</v>
      </c>
      <c r="B195" s="16">
        <v>1980</v>
      </c>
      <c r="C195" s="17">
        <v>42711</v>
      </c>
      <c r="D195" s="22" t="s">
        <v>55</v>
      </c>
      <c r="E195" s="17">
        <v>42705</v>
      </c>
      <c r="F195" s="17">
        <v>42713</v>
      </c>
      <c r="G195" s="17">
        <v>42725</v>
      </c>
      <c r="H195" s="16" t="s">
        <v>105</v>
      </c>
      <c r="I195" s="16">
        <v>846.7</v>
      </c>
      <c r="J195" s="16">
        <v>152.68</v>
      </c>
      <c r="K195" s="18">
        <v>694.02</v>
      </c>
      <c r="L195" s="19">
        <f aca="true" t="shared" si="7" ref="L195:L226">+F195-G195</f>
        <v>-12</v>
      </c>
      <c r="M195" s="20">
        <f aca="true" t="shared" si="8" ref="M195:M226">+L195*K195</f>
        <v>-8328.24</v>
      </c>
    </row>
    <row r="196" spans="1:13" s="1" customFormat="1" ht="12.75">
      <c r="A196" s="15" t="s">
        <v>190</v>
      </c>
      <c r="B196" s="16">
        <v>1981</v>
      </c>
      <c r="C196" s="17">
        <v>42711</v>
      </c>
      <c r="D196" s="22" t="s">
        <v>54</v>
      </c>
      <c r="E196" s="17">
        <v>42705</v>
      </c>
      <c r="F196" s="17">
        <v>42713</v>
      </c>
      <c r="G196" s="17">
        <v>42725</v>
      </c>
      <c r="H196" s="16" t="s">
        <v>105</v>
      </c>
      <c r="I196" s="16">
        <v>679.71</v>
      </c>
      <c r="J196" s="16">
        <v>122.57</v>
      </c>
      <c r="K196" s="18">
        <v>557.14</v>
      </c>
      <c r="L196" s="19">
        <f t="shared" si="7"/>
        <v>-12</v>
      </c>
      <c r="M196" s="20">
        <f t="shared" si="8"/>
        <v>-6685.68</v>
      </c>
    </row>
    <row r="197" spans="1:13" s="1" customFormat="1" ht="12.75">
      <c r="A197" s="15" t="s">
        <v>190</v>
      </c>
      <c r="B197" s="16">
        <v>1982</v>
      </c>
      <c r="C197" s="17">
        <v>42711</v>
      </c>
      <c r="D197" s="22" t="s">
        <v>51</v>
      </c>
      <c r="E197" s="17">
        <v>42705</v>
      </c>
      <c r="F197" s="17">
        <v>42713</v>
      </c>
      <c r="G197" s="17">
        <v>42725</v>
      </c>
      <c r="H197" s="16" t="s">
        <v>105</v>
      </c>
      <c r="I197" s="16">
        <v>504.64</v>
      </c>
      <c r="J197" s="16">
        <v>91</v>
      </c>
      <c r="K197" s="18">
        <v>413.64</v>
      </c>
      <c r="L197" s="19">
        <f t="shared" si="7"/>
        <v>-12</v>
      </c>
      <c r="M197" s="20">
        <f t="shared" si="8"/>
        <v>-4963.68</v>
      </c>
    </row>
    <row r="198" spans="1:13" s="1" customFormat="1" ht="12.75">
      <c r="A198" s="15" t="s">
        <v>190</v>
      </c>
      <c r="B198" s="16">
        <v>1983</v>
      </c>
      <c r="C198" s="17">
        <v>42711</v>
      </c>
      <c r="D198" s="22" t="s">
        <v>57</v>
      </c>
      <c r="E198" s="17">
        <v>42705</v>
      </c>
      <c r="F198" s="17">
        <v>42713</v>
      </c>
      <c r="G198" s="17">
        <v>42725</v>
      </c>
      <c r="H198" s="16" t="s">
        <v>105</v>
      </c>
      <c r="I198" s="16">
        <v>1164.61</v>
      </c>
      <c r="J198" s="16">
        <v>210.01</v>
      </c>
      <c r="K198" s="18">
        <v>954.6</v>
      </c>
      <c r="L198" s="19">
        <f t="shared" si="7"/>
        <v>-12</v>
      </c>
      <c r="M198" s="20">
        <f t="shared" si="8"/>
        <v>-11455.2</v>
      </c>
    </row>
    <row r="199" spans="1:13" s="1" customFormat="1" ht="12.75">
      <c r="A199" s="15" t="s">
        <v>190</v>
      </c>
      <c r="B199" s="16">
        <v>1984</v>
      </c>
      <c r="C199" s="17">
        <v>42711</v>
      </c>
      <c r="D199" s="22" t="s">
        <v>56</v>
      </c>
      <c r="E199" s="17">
        <v>42705</v>
      </c>
      <c r="F199" s="17">
        <v>42713</v>
      </c>
      <c r="G199" s="17">
        <v>42725</v>
      </c>
      <c r="H199" s="16" t="s">
        <v>105</v>
      </c>
      <c r="I199" s="16">
        <v>271.79</v>
      </c>
      <c r="J199" s="16">
        <v>49.01</v>
      </c>
      <c r="K199" s="18">
        <v>222.78</v>
      </c>
      <c r="L199" s="19">
        <f t="shared" si="7"/>
        <v>-12</v>
      </c>
      <c r="M199" s="20">
        <f t="shared" si="8"/>
        <v>-2673.36</v>
      </c>
    </row>
    <row r="200" spans="1:13" s="1" customFormat="1" ht="12.75">
      <c r="A200" s="15" t="s">
        <v>190</v>
      </c>
      <c r="B200" s="16">
        <v>1985</v>
      </c>
      <c r="C200" s="17">
        <v>42711</v>
      </c>
      <c r="D200" s="22" t="s">
        <v>52</v>
      </c>
      <c r="E200" s="17">
        <v>42705</v>
      </c>
      <c r="F200" s="17">
        <v>42713</v>
      </c>
      <c r="G200" s="17">
        <v>42725</v>
      </c>
      <c r="H200" s="16" t="s">
        <v>105</v>
      </c>
      <c r="I200" s="16">
        <v>195.99</v>
      </c>
      <c r="J200" s="16">
        <v>35.34</v>
      </c>
      <c r="K200" s="18">
        <v>160.65</v>
      </c>
      <c r="L200" s="19">
        <f t="shared" si="7"/>
        <v>-12</v>
      </c>
      <c r="M200" s="20">
        <f t="shared" si="8"/>
        <v>-1927.8000000000002</v>
      </c>
    </row>
    <row r="201" spans="1:13" s="1" customFormat="1" ht="12.75">
      <c r="A201" s="15" t="s">
        <v>190</v>
      </c>
      <c r="B201" s="16">
        <v>1986</v>
      </c>
      <c r="C201" s="17">
        <v>42711</v>
      </c>
      <c r="D201" s="22" t="s">
        <v>59</v>
      </c>
      <c r="E201" s="17">
        <v>42705</v>
      </c>
      <c r="F201" s="17">
        <v>42713</v>
      </c>
      <c r="G201" s="17">
        <v>42725</v>
      </c>
      <c r="H201" s="16" t="s">
        <v>105</v>
      </c>
      <c r="I201" s="16">
        <v>499.8</v>
      </c>
      <c r="J201" s="16">
        <v>90.13</v>
      </c>
      <c r="K201" s="18">
        <v>409.67</v>
      </c>
      <c r="L201" s="19">
        <f t="shared" si="7"/>
        <v>-12</v>
      </c>
      <c r="M201" s="20">
        <f t="shared" si="8"/>
        <v>-4916.04</v>
      </c>
    </row>
    <row r="202" spans="1:13" s="1" customFormat="1" ht="12.75">
      <c r="A202" s="15" t="s">
        <v>190</v>
      </c>
      <c r="B202" s="16">
        <v>1987</v>
      </c>
      <c r="C202" s="17">
        <v>42711</v>
      </c>
      <c r="D202" s="22" t="s">
        <v>49</v>
      </c>
      <c r="E202" s="17">
        <v>42705</v>
      </c>
      <c r="F202" s="17">
        <v>42713</v>
      </c>
      <c r="G202" s="17">
        <v>42725</v>
      </c>
      <c r="H202" s="16" t="s">
        <v>105</v>
      </c>
      <c r="I202" s="16">
        <v>378.94</v>
      </c>
      <c r="J202" s="16">
        <v>68.33</v>
      </c>
      <c r="K202" s="18">
        <v>310.61</v>
      </c>
      <c r="L202" s="19">
        <f t="shared" si="7"/>
        <v>-12</v>
      </c>
      <c r="M202" s="20">
        <f t="shared" si="8"/>
        <v>-3727.32</v>
      </c>
    </row>
    <row r="203" spans="1:13" s="1" customFormat="1" ht="12.75">
      <c r="A203" s="15" t="s">
        <v>190</v>
      </c>
      <c r="B203" s="16">
        <v>1988</v>
      </c>
      <c r="C203" s="17">
        <v>42711</v>
      </c>
      <c r="D203" s="22" t="s">
        <v>53</v>
      </c>
      <c r="E203" s="17">
        <v>42705</v>
      </c>
      <c r="F203" s="17">
        <v>42713</v>
      </c>
      <c r="G203" s="17">
        <v>42725</v>
      </c>
      <c r="H203" s="16" t="s">
        <v>105</v>
      </c>
      <c r="I203" s="16">
        <v>7913.27</v>
      </c>
      <c r="J203" s="16">
        <v>1426.98</v>
      </c>
      <c r="K203" s="18">
        <v>6486.29</v>
      </c>
      <c r="L203" s="19">
        <f t="shared" si="7"/>
        <v>-12</v>
      </c>
      <c r="M203" s="20">
        <f t="shared" si="8"/>
        <v>-77835.48</v>
      </c>
    </row>
    <row r="204" spans="1:13" s="1" customFormat="1" ht="12.75">
      <c r="A204" s="15" t="s">
        <v>208</v>
      </c>
      <c r="B204" s="16">
        <v>1994</v>
      </c>
      <c r="C204" s="17">
        <v>42711</v>
      </c>
      <c r="D204" s="22" t="str">
        <f>"41603925537"</f>
        <v>41603925537</v>
      </c>
      <c r="E204" s="17">
        <v>42704</v>
      </c>
      <c r="F204" s="17">
        <v>42713</v>
      </c>
      <c r="G204" s="17">
        <v>42724</v>
      </c>
      <c r="H204" s="16" t="s">
        <v>105</v>
      </c>
      <c r="I204" s="16">
        <v>114.79</v>
      </c>
      <c r="J204" s="16">
        <v>20.7</v>
      </c>
      <c r="K204" s="18">
        <v>94.09</v>
      </c>
      <c r="L204" s="19">
        <f t="shared" si="7"/>
        <v>-11</v>
      </c>
      <c r="M204" s="20">
        <f t="shared" si="8"/>
        <v>-1034.99</v>
      </c>
    </row>
    <row r="205" spans="1:13" s="1" customFormat="1" ht="12.75">
      <c r="A205" s="15" t="s">
        <v>208</v>
      </c>
      <c r="B205" s="16">
        <v>1995</v>
      </c>
      <c r="C205" s="17">
        <v>42711</v>
      </c>
      <c r="D205" s="22" t="str">
        <f>"41603925538"</f>
        <v>41603925538</v>
      </c>
      <c r="E205" s="17">
        <v>42704</v>
      </c>
      <c r="F205" s="17">
        <v>42713</v>
      </c>
      <c r="G205" s="17">
        <v>42724</v>
      </c>
      <c r="H205" s="16" t="s">
        <v>105</v>
      </c>
      <c r="I205" s="16">
        <v>9.98</v>
      </c>
      <c r="J205" s="16">
        <v>1.8</v>
      </c>
      <c r="K205" s="18">
        <v>8.18</v>
      </c>
      <c r="L205" s="19">
        <f t="shared" si="7"/>
        <v>-11</v>
      </c>
      <c r="M205" s="20">
        <f t="shared" si="8"/>
        <v>-89.97999999999999</v>
      </c>
    </row>
    <row r="206" spans="1:13" s="1" customFormat="1" ht="12.75">
      <c r="A206" s="15" t="s">
        <v>208</v>
      </c>
      <c r="B206" s="16">
        <v>1996</v>
      </c>
      <c r="C206" s="17">
        <v>42711</v>
      </c>
      <c r="D206" s="22" t="str">
        <f>"41603925540"</f>
        <v>41603925540</v>
      </c>
      <c r="E206" s="17">
        <v>42704</v>
      </c>
      <c r="F206" s="17">
        <v>42713</v>
      </c>
      <c r="G206" s="17">
        <v>42724</v>
      </c>
      <c r="H206" s="16" t="s">
        <v>105</v>
      </c>
      <c r="I206" s="16">
        <v>1700.36</v>
      </c>
      <c r="J206" s="16">
        <v>306.62</v>
      </c>
      <c r="K206" s="18">
        <v>1393.74</v>
      </c>
      <c r="L206" s="19">
        <f t="shared" si="7"/>
        <v>-11</v>
      </c>
      <c r="M206" s="20">
        <f t="shared" si="8"/>
        <v>-15331.14</v>
      </c>
    </row>
    <row r="207" spans="1:13" s="1" customFormat="1" ht="12.75">
      <c r="A207" s="15" t="s">
        <v>208</v>
      </c>
      <c r="B207" s="16">
        <v>1997</v>
      </c>
      <c r="C207" s="17">
        <v>42711</v>
      </c>
      <c r="D207" s="22" t="str">
        <f>"41603925544"</f>
        <v>41603925544</v>
      </c>
      <c r="E207" s="17">
        <v>42704</v>
      </c>
      <c r="F207" s="17">
        <v>42713</v>
      </c>
      <c r="G207" s="17">
        <v>42724</v>
      </c>
      <c r="H207" s="16" t="s">
        <v>105</v>
      </c>
      <c r="I207" s="16">
        <v>30.01</v>
      </c>
      <c r="J207" s="16">
        <v>5.41</v>
      </c>
      <c r="K207" s="18">
        <v>24.6</v>
      </c>
      <c r="L207" s="19">
        <f t="shared" si="7"/>
        <v>-11</v>
      </c>
      <c r="M207" s="20">
        <f t="shared" si="8"/>
        <v>-270.6</v>
      </c>
    </row>
    <row r="208" spans="1:13" s="1" customFormat="1" ht="12.75">
      <c r="A208" s="15" t="s">
        <v>208</v>
      </c>
      <c r="B208" s="16">
        <v>1998</v>
      </c>
      <c r="C208" s="17">
        <v>42711</v>
      </c>
      <c r="D208" s="22" t="str">
        <f>"41603925539"</f>
        <v>41603925539</v>
      </c>
      <c r="E208" s="17">
        <v>42704</v>
      </c>
      <c r="F208" s="17">
        <v>42713</v>
      </c>
      <c r="G208" s="17">
        <v>42724</v>
      </c>
      <c r="H208" s="16" t="s">
        <v>105</v>
      </c>
      <c r="I208" s="16">
        <v>687.46</v>
      </c>
      <c r="J208" s="16">
        <v>123.97</v>
      </c>
      <c r="K208" s="18">
        <v>563.49</v>
      </c>
      <c r="L208" s="19">
        <f t="shared" si="7"/>
        <v>-11</v>
      </c>
      <c r="M208" s="20">
        <f t="shared" si="8"/>
        <v>-6198.39</v>
      </c>
    </row>
    <row r="209" spans="1:13" s="1" customFormat="1" ht="12.75">
      <c r="A209" s="15" t="s">
        <v>208</v>
      </c>
      <c r="B209" s="16">
        <v>1999</v>
      </c>
      <c r="C209" s="17">
        <v>42711</v>
      </c>
      <c r="D209" s="22" t="str">
        <f>"41603925545"</f>
        <v>41603925545</v>
      </c>
      <c r="E209" s="17">
        <v>42704</v>
      </c>
      <c r="F209" s="17">
        <v>42713</v>
      </c>
      <c r="G209" s="17">
        <v>42724</v>
      </c>
      <c r="H209" s="16" t="s">
        <v>105</v>
      </c>
      <c r="I209" s="16">
        <v>25.25</v>
      </c>
      <c r="J209" s="16">
        <v>3.19</v>
      </c>
      <c r="K209" s="18">
        <v>22.06</v>
      </c>
      <c r="L209" s="19">
        <f t="shared" si="7"/>
        <v>-11</v>
      </c>
      <c r="M209" s="20">
        <f t="shared" si="8"/>
        <v>-242.66</v>
      </c>
    </row>
    <row r="210" spans="1:13" s="1" customFormat="1" ht="12.75">
      <c r="A210" s="15" t="s">
        <v>208</v>
      </c>
      <c r="B210" s="16">
        <v>2000</v>
      </c>
      <c r="C210" s="17">
        <v>42711</v>
      </c>
      <c r="D210" s="22" t="str">
        <f>"41603925535"</f>
        <v>41603925535</v>
      </c>
      <c r="E210" s="17">
        <v>42704</v>
      </c>
      <c r="F210" s="17">
        <v>42713</v>
      </c>
      <c r="G210" s="17">
        <v>42724</v>
      </c>
      <c r="H210" s="16" t="s">
        <v>105</v>
      </c>
      <c r="I210" s="16">
        <v>712.66</v>
      </c>
      <c r="J210" s="16">
        <v>128.51</v>
      </c>
      <c r="K210" s="18">
        <v>584.15</v>
      </c>
      <c r="L210" s="19">
        <f t="shared" si="7"/>
        <v>-11</v>
      </c>
      <c r="M210" s="20">
        <f t="shared" si="8"/>
        <v>-6425.65</v>
      </c>
    </row>
    <row r="211" spans="1:13" s="1" customFormat="1" ht="12.75">
      <c r="A211" s="15" t="s">
        <v>208</v>
      </c>
      <c r="B211" s="16">
        <v>2001</v>
      </c>
      <c r="C211" s="17">
        <v>42711</v>
      </c>
      <c r="D211" s="22" t="str">
        <f>"41603925536"</f>
        <v>41603925536</v>
      </c>
      <c r="E211" s="17">
        <v>42704</v>
      </c>
      <c r="F211" s="17">
        <v>42713</v>
      </c>
      <c r="G211" s="17">
        <v>42724</v>
      </c>
      <c r="H211" s="16" t="s">
        <v>105</v>
      </c>
      <c r="I211" s="16">
        <v>101.32</v>
      </c>
      <c r="J211" s="16">
        <v>18.27</v>
      </c>
      <c r="K211" s="18">
        <v>83.05</v>
      </c>
      <c r="L211" s="19">
        <f t="shared" si="7"/>
        <v>-11</v>
      </c>
      <c r="M211" s="20">
        <f t="shared" si="8"/>
        <v>-913.55</v>
      </c>
    </row>
    <row r="212" spans="1:13" s="1" customFormat="1" ht="12.75">
      <c r="A212" s="15" t="s">
        <v>208</v>
      </c>
      <c r="B212" s="16">
        <v>2002</v>
      </c>
      <c r="C212" s="17">
        <v>42711</v>
      </c>
      <c r="D212" s="22" t="str">
        <f>"41603925534"</f>
        <v>41603925534</v>
      </c>
      <c r="E212" s="17">
        <v>42704</v>
      </c>
      <c r="F212" s="17">
        <v>42713</v>
      </c>
      <c r="G212" s="17">
        <v>42724</v>
      </c>
      <c r="H212" s="16" t="s">
        <v>105</v>
      </c>
      <c r="I212" s="16">
        <v>119.96</v>
      </c>
      <c r="J212" s="16">
        <v>21.63</v>
      </c>
      <c r="K212" s="18">
        <v>98.33</v>
      </c>
      <c r="L212" s="19">
        <f t="shared" si="7"/>
        <v>-11</v>
      </c>
      <c r="M212" s="20">
        <f t="shared" si="8"/>
        <v>-1081.6299999999999</v>
      </c>
    </row>
    <row r="213" spans="1:13" s="1" customFormat="1" ht="12.75">
      <c r="A213" s="15" t="s">
        <v>208</v>
      </c>
      <c r="B213" s="16">
        <v>2003</v>
      </c>
      <c r="C213" s="17">
        <v>42711</v>
      </c>
      <c r="D213" s="22" t="str">
        <f>"41603925543"</f>
        <v>41603925543</v>
      </c>
      <c r="E213" s="17">
        <v>42704</v>
      </c>
      <c r="F213" s="17">
        <v>42713</v>
      </c>
      <c r="G213" s="17">
        <v>42724</v>
      </c>
      <c r="H213" s="16" t="s">
        <v>105</v>
      </c>
      <c r="I213" s="16">
        <v>327.74</v>
      </c>
      <c r="J213" s="16">
        <v>59.1</v>
      </c>
      <c r="K213" s="18">
        <v>268.64</v>
      </c>
      <c r="L213" s="19">
        <f t="shared" si="7"/>
        <v>-11</v>
      </c>
      <c r="M213" s="20">
        <f t="shared" si="8"/>
        <v>-2955.04</v>
      </c>
    </row>
    <row r="214" spans="1:13" s="1" customFormat="1" ht="12.75">
      <c r="A214" s="15" t="s">
        <v>208</v>
      </c>
      <c r="B214" s="16">
        <v>2004</v>
      </c>
      <c r="C214" s="17">
        <v>42711</v>
      </c>
      <c r="D214" s="22" t="str">
        <f>"41603925542"</f>
        <v>41603925542</v>
      </c>
      <c r="E214" s="17">
        <v>42704</v>
      </c>
      <c r="F214" s="17">
        <v>42713</v>
      </c>
      <c r="G214" s="17">
        <v>42724</v>
      </c>
      <c r="H214" s="16" t="s">
        <v>105</v>
      </c>
      <c r="I214" s="16">
        <v>199.88</v>
      </c>
      <c r="J214" s="16">
        <v>36.04</v>
      </c>
      <c r="K214" s="18">
        <v>163.84</v>
      </c>
      <c r="L214" s="19">
        <f t="shared" si="7"/>
        <v>-11</v>
      </c>
      <c r="M214" s="20">
        <f t="shared" si="8"/>
        <v>-1802.24</v>
      </c>
    </row>
    <row r="215" spans="1:13" s="1" customFormat="1" ht="12.75">
      <c r="A215" s="15" t="s">
        <v>122</v>
      </c>
      <c r="B215" s="16">
        <v>2005</v>
      </c>
      <c r="C215" s="17">
        <v>42711</v>
      </c>
      <c r="D215" s="22" t="str">
        <f>"2016901206"</f>
        <v>2016901206</v>
      </c>
      <c r="E215" s="17">
        <v>42613</v>
      </c>
      <c r="F215" s="17">
        <v>42713</v>
      </c>
      <c r="G215" s="17">
        <v>42656</v>
      </c>
      <c r="H215" s="16" t="s">
        <v>114</v>
      </c>
      <c r="I215" s="16">
        <v>5432.4</v>
      </c>
      <c r="J215" s="16">
        <v>979.61</v>
      </c>
      <c r="K215" s="18">
        <v>4452.79</v>
      </c>
      <c r="L215" s="19">
        <f t="shared" si="7"/>
        <v>57</v>
      </c>
      <c r="M215" s="20">
        <f t="shared" si="8"/>
        <v>253809.03</v>
      </c>
    </row>
    <row r="216" spans="1:13" s="1" customFormat="1" ht="12.75">
      <c r="A216" s="15" t="s">
        <v>122</v>
      </c>
      <c r="B216" s="16">
        <v>2006</v>
      </c>
      <c r="C216" s="17">
        <v>42711</v>
      </c>
      <c r="D216" s="16" t="str">
        <f>"2016901486"</f>
        <v>2016901486</v>
      </c>
      <c r="E216" s="17">
        <v>42674</v>
      </c>
      <c r="F216" s="17">
        <v>42713</v>
      </c>
      <c r="G216" s="17">
        <v>42714</v>
      </c>
      <c r="H216" s="16" t="s">
        <v>114</v>
      </c>
      <c r="I216" s="16">
        <v>2104.28</v>
      </c>
      <c r="J216" s="16">
        <v>379.46</v>
      </c>
      <c r="K216" s="18">
        <v>1724.82</v>
      </c>
      <c r="L216" s="19">
        <f t="shared" si="7"/>
        <v>-1</v>
      </c>
      <c r="M216" s="20">
        <f t="shared" si="8"/>
        <v>-1724.82</v>
      </c>
    </row>
    <row r="217" spans="1:13" s="1" customFormat="1" ht="12.75">
      <c r="A217" s="15" t="s">
        <v>69</v>
      </c>
      <c r="B217" s="16">
        <v>2007</v>
      </c>
      <c r="C217" s="17">
        <v>42711</v>
      </c>
      <c r="D217" s="16" t="str">
        <f>"15656"</f>
        <v>15656</v>
      </c>
      <c r="E217" s="17">
        <v>42704</v>
      </c>
      <c r="F217" s="17">
        <v>42713</v>
      </c>
      <c r="G217" s="17">
        <v>42774</v>
      </c>
      <c r="H217" s="16" t="s">
        <v>105</v>
      </c>
      <c r="I217" s="16">
        <v>758.18</v>
      </c>
      <c r="J217" s="16">
        <v>0</v>
      </c>
      <c r="K217" s="18">
        <v>758.18</v>
      </c>
      <c r="L217" s="19">
        <f t="shared" si="7"/>
        <v>-61</v>
      </c>
      <c r="M217" s="20">
        <f t="shared" si="8"/>
        <v>-46248.979999999996</v>
      </c>
    </row>
    <row r="218" spans="1:13" s="1" customFormat="1" ht="12.75">
      <c r="A218" s="15" t="s">
        <v>133</v>
      </c>
      <c r="B218" s="16">
        <v>2023</v>
      </c>
      <c r="C218" s="17">
        <v>42717</v>
      </c>
      <c r="D218" s="16" t="s">
        <v>142</v>
      </c>
      <c r="E218" s="17">
        <v>42674</v>
      </c>
      <c r="F218" s="17">
        <v>42718</v>
      </c>
      <c r="G218" s="17">
        <v>42751</v>
      </c>
      <c r="H218" s="16" t="s">
        <v>105</v>
      </c>
      <c r="I218" s="16">
        <v>747.36</v>
      </c>
      <c r="J218" s="16">
        <v>28.74</v>
      </c>
      <c r="K218" s="18">
        <v>718.62</v>
      </c>
      <c r="L218" s="19">
        <f t="shared" si="7"/>
        <v>-33</v>
      </c>
      <c r="M218" s="20">
        <f t="shared" si="8"/>
        <v>-23714.46</v>
      </c>
    </row>
    <row r="219" spans="1:13" s="1" customFormat="1" ht="26.25">
      <c r="A219" s="15" t="s">
        <v>135</v>
      </c>
      <c r="B219" s="16">
        <v>2024</v>
      </c>
      <c r="C219" s="17">
        <v>42717</v>
      </c>
      <c r="D219" s="16" t="s">
        <v>136</v>
      </c>
      <c r="E219" s="17">
        <v>42674</v>
      </c>
      <c r="F219" s="17">
        <v>42718</v>
      </c>
      <c r="G219" s="17">
        <v>42745</v>
      </c>
      <c r="H219" s="16" t="s">
        <v>105</v>
      </c>
      <c r="I219" s="16">
        <v>4527.24</v>
      </c>
      <c r="J219" s="16">
        <v>215.58</v>
      </c>
      <c r="K219" s="18">
        <v>4311.66</v>
      </c>
      <c r="L219" s="19">
        <f t="shared" si="7"/>
        <v>-27</v>
      </c>
      <c r="M219" s="20">
        <f t="shared" si="8"/>
        <v>-116414.81999999999</v>
      </c>
    </row>
    <row r="220" spans="1:13" s="1" customFormat="1" ht="26.25">
      <c r="A220" s="15" t="s">
        <v>154</v>
      </c>
      <c r="B220" s="16">
        <v>2025</v>
      </c>
      <c r="C220" s="17">
        <v>42717</v>
      </c>
      <c r="D220" s="16" t="s">
        <v>165</v>
      </c>
      <c r="E220" s="17">
        <v>42704</v>
      </c>
      <c r="F220" s="17">
        <v>42718</v>
      </c>
      <c r="G220" s="17">
        <v>42766</v>
      </c>
      <c r="H220" s="16" t="s">
        <v>105</v>
      </c>
      <c r="I220" s="16">
        <v>4392.2</v>
      </c>
      <c r="J220" s="16">
        <v>399.29</v>
      </c>
      <c r="K220" s="18">
        <v>3992.91</v>
      </c>
      <c r="L220" s="19">
        <f t="shared" si="7"/>
        <v>-48</v>
      </c>
      <c r="M220" s="20">
        <f t="shared" si="8"/>
        <v>-191659.68</v>
      </c>
    </row>
    <row r="221" spans="1:13" s="1" customFormat="1" ht="12.75">
      <c r="A221" s="15" t="s">
        <v>129</v>
      </c>
      <c r="B221" s="16">
        <v>2029</v>
      </c>
      <c r="C221" s="17">
        <v>42717</v>
      </c>
      <c r="D221" s="16" t="s">
        <v>130</v>
      </c>
      <c r="E221" s="17">
        <v>42711</v>
      </c>
      <c r="F221" s="17">
        <v>42718</v>
      </c>
      <c r="G221" s="17">
        <v>42743</v>
      </c>
      <c r="H221" s="16" t="s">
        <v>114</v>
      </c>
      <c r="I221" s="21">
        <v>9809.36</v>
      </c>
      <c r="J221" s="16">
        <v>1768.9</v>
      </c>
      <c r="K221" s="18">
        <v>8040.46</v>
      </c>
      <c r="L221" s="19">
        <f t="shared" si="7"/>
        <v>-25</v>
      </c>
      <c r="M221" s="20">
        <f t="shared" si="8"/>
        <v>-201011.5</v>
      </c>
    </row>
    <row r="222" spans="1:13" s="1" customFormat="1" ht="12.75">
      <c r="A222" s="15" t="s">
        <v>129</v>
      </c>
      <c r="B222" s="16">
        <v>2030</v>
      </c>
      <c r="C222" s="17">
        <v>42717</v>
      </c>
      <c r="D222" s="16" t="s">
        <v>130</v>
      </c>
      <c r="E222" s="17">
        <v>42711</v>
      </c>
      <c r="F222" s="17">
        <v>42718</v>
      </c>
      <c r="G222" s="17">
        <v>42743</v>
      </c>
      <c r="H222" s="16" t="s">
        <v>114</v>
      </c>
      <c r="I222" s="21">
        <v>12663.04</v>
      </c>
      <c r="J222" s="16">
        <v>2283.5</v>
      </c>
      <c r="K222" s="18">
        <v>10379.54</v>
      </c>
      <c r="L222" s="19">
        <f t="shared" si="7"/>
        <v>-25</v>
      </c>
      <c r="M222" s="20">
        <f t="shared" si="8"/>
        <v>-259488.50000000003</v>
      </c>
    </row>
    <row r="223" spans="1:13" s="1" customFormat="1" ht="12.75">
      <c r="A223" s="15" t="s">
        <v>28</v>
      </c>
      <c r="B223" s="16">
        <v>2037</v>
      </c>
      <c r="C223" s="17">
        <v>42721</v>
      </c>
      <c r="D223" s="16" t="s">
        <v>175</v>
      </c>
      <c r="E223" s="17">
        <v>42717</v>
      </c>
      <c r="F223" s="17">
        <v>42723</v>
      </c>
      <c r="G223" s="17">
        <v>42779</v>
      </c>
      <c r="H223" s="16" t="s">
        <v>105</v>
      </c>
      <c r="I223" s="21">
        <v>89129.34</v>
      </c>
      <c r="J223" s="16">
        <v>8102.67</v>
      </c>
      <c r="K223" s="18">
        <v>81026.67</v>
      </c>
      <c r="L223" s="19">
        <f t="shared" si="7"/>
        <v>-56</v>
      </c>
      <c r="M223" s="20">
        <f t="shared" si="8"/>
        <v>-4537493.52</v>
      </c>
    </row>
    <row r="224" spans="1:13" s="1" customFormat="1" ht="12.75">
      <c r="A224" s="15" t="s">
        <v>169</v>
      </c>
      <c r="B224" s="16">
        <v>2038</v>
      </c>
      <c r="C224" s="17">
        <v>42721</v>
      </c>
      <c r="D224" s="16" t="str">
        <f>"14"</f>
        <v>14</v>
      </c>
      <c r="E224" s="17">
        <v>42713</v>
      </c>
      <c r="F224" s="17">
        <v>42723</v>
      </c>
      <c r="G224" s="17">
        <v>42775</v>
      </c>
      <c r="H224" s="16" t="s">
        <v>105</v>
      </c>
      <c r="I224" s="21">
        <v>3616.9</v>
      </c>
      <c r="J224" s="16">
        <v>0</v>
      </c>
      <c r="K224" s="18">
        <v>3616.9</v>
      </c>
      <c r="L224" s="19">
        <f t="shared" si="7"/>
        <v>-52</v>
      </c>
      <c r="M224" s="20">
        <f t="shared" si="8"/>
        <v>-188078.80000000002</v>
      </c>
    </row>
    <row r="225" spans="1:13" s="1" customFormat="1" ht="26.25">
      <c r="A225" s="15" t="s">
        <v>83</v>
      </c>
      <c r="B225" s="16">
        <v>2039</v>
      </c>
      <c r="C225" s="17">
        <v>42721</v>
      </c>
      <c r="D225" s="16" t="str">
        <f>"5"</f>
        <v>5</v>
      </c>
      <c r="E225" s="17">
        <v>42717</v>
      </c>
      <c r="F225" s="17">
        <v>42723</v>
      </c>
      <c r="G225" s="17">
        <v>42747</v>
      </c>
      <c r="H225" s="16" t="s">
        <v>114</v>
      </c>
      <c r="I225" s="16">
        <v>8056.88</v>
      </c>
      <c r="J225" s="16">
        <v>0</v>
      </c>
      <c r="K225" s="18">
        <v>8056.88</v>
      </c>
      <c r="L225" s="19">
        <f t="shared" si="7"/>
        <v>-24</v>
      </c>
      <c r="M225" s="20">
        <f t="shared" si="8"/>
        <v>-193365.12</v>
      </c>
    </row>
    <row r="226" spans="1:13" s="1" customFormat="1" ht="12.75">
      <c r="A226" s="15" t="s">
        <v>84</v>
      </c>
      <c r="B226" s="16">
        <v>2040</v>
      </c>
      <c r="C226" s="17">
        <v>42721</v>
      </c>
      <c r="D226" s="16" t="s">
        <v>85</v>
      </c>
      <c r="E226" s="17">
        <v>42705</v>
      </c>
      <c r="F226" s="17">
        <v>42723</v>
      </c>
      <c r="G226" s="17">
        <v>42746</v>
      </c>
      <c r="H226" s="16" t="s">
        <v>114</v>
      </c>
      <c r="I226" s="16">
        <v>6318.1</v>
      </c>
      <c r="J226" s="16">
        <v>574.37</v>
      </c>
      <c r="K226" s="18">
        <v>5743.73</v>
      </c>
      <c r="L226" s="19">
        <f t="shared" si="7"/>
        <v>-23</v>
      </c>
      <c r="M226" s="20">
        <f t="shared" si="8"/>
        <v>-132105.78999999998</v>
      </c>
    </row>
    <row r="227" spans="1:13" s="1" customFormat="1" ht="12.75">
      <c r="A227" s="15" t="s">
        <v>63</v>
      </c>
      <c r="B227" s="16">
        <v>2041</v>
      </c>
      <c r="C227" s="17">
        <v>42721</v>
      </c>
      <c r="D227" s="16" t="s">
        <v>86</v>
      </c>
      <c r="E227" s="17">
        <v>42677</v>
      </c>
      <c r="F227" s="17">
        <v>42723</v>
      </c>
      <c r="G227" s="17">
        <v>42746</v>
      </c>
      <c r="H227" s="16" t="s">
        <v>114</v>
      </c>
      <c r="I227" s="16">
        <v>4398.1</v>
      </c>
      <c r="J227" s="16">
        <v>793.1</v>
      </c>
      <c r="K227" s="18">
        <v>3605</v>
      </c>
      <c r="L227" s="19">
        <f aca="true" t="shared" si="9" ref="L227:L255">+F227-G227</f>
        <v>-23</v>
      </c>
      <c r="M227" s="20">
        <f aca="true" t="shared" si="10" ref="M227:M255">+L227*K227</f>
        <v>-82915</v>
      </c>
    </row>
    <row r="228" spans="1:13" s="1" customFormat="1" ht="26.25">
      <c r="A228" s="15" t="s">
        <v>83</v>
      </c>
      <c r="B228" s="16">
        <v>2042</v>
      </c>
      <c r="C228" s="17">
        <v>42721</v>
      </c>
      <c r="D228" s="16" t="str">
        <f>"4"</f>
        <v>4</v>
      </c>
      <c r="E228" s="17">
        <v>42717</v>
      </c>
      <c r="F228" s="17">
        <v>42723</v>
      </c>
      <c r="G228" s="17">
        <v>42747</v>
      </c>
      <c r="H228" s="16" t="s">
        <v>114</v>
      </c>
      <c r="I228" s="16">
        <v>4631.12</v>
      </c>
      <c r="J228" s="16">
        <v>0</v>
      </c>
      <c r="K228" s="18">
        <v>4631.12</v>
      </c>
      <c r="L228" s="19">
        <f t="shared" si="9"/>
        <v>-24</v>
      </c>
      <c r="M228" s="20">
        <f t="shared" si="10"/>
        <v>-111146.88</v>
      </c>
    </row>
    <row r="229" spans="1:13" s="1" customFormat="1" ht="12.75">
      <c r="A229" s="15" t="s">
        <v>160</v>
      </c>
      <c r="B229" s="16">
        <v>2043</v>
      </c>
      <c r="C229" s="17">
        <v>42721</v>
      </c>
      <c r="D229" s="16" t="s">
        <v>161</v>
      </c>
      <c r="E229" s="17">
        <v>42704</v>
      </c>
      <c r="F229" s="17">
        <v>42723</v>
      </c>
      <c r="G229" s="17">
        <v>42766</v>
      </c>
      <c r="H229" s="16" t="s">
        <v>105</v>
      </c>
      <c r="I229" s="21">
        <v>6940.07</v>
      </c>
      <c r="J229" s="16">
        <v>1251.49</v>
      </c>
      <c r="K229" s="18">
        <v>5688.58</v>
      </c>
      <c r="L229" s="19">
        <f t="shared" si="9"/>
        <v>-43</v>
      </c>
      <c r="M229" s="20">
        <f t="shared" si="10"/>
        <v>-244608.94</v>
      </c>
    </row>
    <row r="230" spans="1:13" s="1" customFormat="1" ht="12.75">
      <c r="A230" s="15" t="s">
        <v>28</v>
      </c>
      <c r="B230" s="16">
        <v>2044</v>
      </c>
      <c r="C230" s="17">
        <v>42721</v>
      </c>
      <c r="D230" s="16" t="s">
        <v>168</v>
      </c>
      <c r="E230" s="17">
        <v>42710</v>
      </c>
      <c r="F230" s="17">
        <v>42723</v>
      </c>
      <c r="G230" s="17">
        <v>42772</v>
      </c>
      <c r="H230" s="16" t="s">
        <v>105</v>
      </c>
      <c r="I230" s="21">
        <v>5378.09</v>
      </c>
      <c r="J230" s="16">
        <v>488.92</v>
      </c>
      <c r="K230" s="18">
        <v>4889.17</v>
      </c>
      <c r="L230" s="19">
        <f t="shared" si="9"/>
        <v>-49</v>
      </c>
      <c r="M230" s="20">
        <f t="shared" si="10"/>
        <v>-239569.33000000002</v>
      </c>
    </row>
    <row r="231" spans="1:13" s="1" customFormat="1" ht="12.75">
      <c r="A231" s="15" t="s">
        <v>5</v>
      </c>
      <c r="B231" s="16">
        <v>2045</v>
      </c>
      <c r="C231" s="17">
        <v>42721</v>
      </c>
      <c r="D231" s="16" t="s">
        <v>68</v>
      </c>
      <c r="E231" s="17">
        <v>42709</v>
      </c>
      <c r="F231" s="17">
        <v>42723</v>
      </c>
      <c r="G231" s="17">
        <v>42743</v>
      </c>
      <c r="H231" s="16" t="s">
        <v>105</v>
      </c>
      <c r="I231" s="16">
        <v>597.8</v>
      </c>
      <c r="J231" s="16">
        <v>107.8</v>
      </c>
      <c r="K231" s="18">
        <v>490</v>
      </c>
      <c r="L231" s="19">
        <f t="shared" si="9"/>
        <v>-20</v>
      </c>
      <c r="M231" s="20">
        <f t="shared" si="10"/>
        <v>-9800</v>
      </c>
    </row>
    <row r="232" spans="1:13" s="1" customFormat="1" ht="12.75">
      <c r="A232" s="15" t="s">
        <v>16</v>
      </c>
      <c r="B232" s="16">
        <v>2046</v>
      </c>
      <c r="C232" s="17">
        <v>42721</v>
      </c>
      <c r="D232" s="16" t="str">
        <f>"16099"</f>
        <v>16099</v>
      </c>
      <c r="E232" s="17">
        <v>42704</v>
      </c>
      <c r="F232" s="17">
        <v>42723</v>
      </c>
      <c r="G232" s="17">
        <v>42740</v>
      </c>
      <c r="H232" s="16" t="s">
        <v>105</v>
      </c>
      <c r="I232" s="16">
        <v>2310.88</v>
      </c>
      <c r="J232" s="16">
        <v>416.72</v>
      </c>
      <c r="K232" s="18">
        <v>1894.16</v>
      </c>
      <c r="L232" s="19">
        <f t="shared" si="9"/>
        <v>-17</v>
      </c>
      <c r="M232" s="20">
        <f t="shared" si="10"/>
        <v>-32200.72</v>
      </c>
    </row>
    <row r="233" spans="1:13" s="1" customFormat="1" ht="12.75">
      <c r="A233" s="15" t="s">
        <v>213</v>
      </c>
      <c r="B233" s="16">
        <v>2047</v>
      </c>
      <c r="C233" s="17">
        <v>42721</v>
      </c>
      <c r="D233" s="16" t="str">
        <f>"0001136456"</f>
        <v>0001136456</v>
      </c>
      <c r="E233" s="17">
        <v>42704</v>
      </c>
      <c r="F233" s="17">
        <v>42723</v>
      </c>
      <c r="G233" s="17">
        <v>42747</v>
      </c>
      <c r="H233" s="16" t="s">
        <v>105</v>
      </c>
      <c r="I233" s="16">
        <v>627</v>
      </c>
      <c r="J233" s="16">
        <v>0</v>
      </c>
      <c r="K233" s="18">
        <v>627</v>
      </c>
      <c r="L233" s="19">
        <f t="shared" si="9"/>
        <v>-24</v>
      </c>
      <c r="M233" s="20">
        <f t="shared" si="10"/>
        <v>-15048</v>
      </c>
    </row>
    <row r="234" spans="1:13" s="1" customFormat="1" ht="12.75">
      <c r="A234" s="15" t="s">
        <v>213</v>
      </c>
      <c r="B234" s="16">
        <v>2047</v>
      </c>
      <c r="C234" s="17">
        <v>42721</v>
      </c>
      <c r="D234" s="16" t="str">
        <f>"0001136113"</f>
        <v>0001136113</v>
      </c>
      <c r="E234" s="17">
        <v>42704</v>
      </c>
      <c r="F234" s="17">
        <v>42723</v>
      </c>
      <c r="G234" s="17">
        <v>42747</v>
      </c>
      <c r="H234" s="16" t="s">
        <v>105</v>
      </c>
      <c r="I234" s="16">
        <v>384.3</v>
      </c>
      <c r="J234" s="16">
        <v>0</v>
      </c>
      <c r="K234" s="18">
        <v>384.3</v>
      </c>
      <c r="L234" s="19">
        <f t="shared" si="9"/>
        <v>-24</v>
      </c>
      <c r="M234" s="20">
        <f t="shared" si="10"/>
        <v>-9223.2</v>
      </c>
    </row>
    <row r="235" spans="1:13" s="1" customFormat="1" ht="12.75">
      <c r="A235" s="15" t="s">
        <v>213</v>
      </c>
      <c r="B235" s="16">
        <v>2048</v>
      </c>
      <c r="C235" s="17">
        <v>42721</v>
      </c>
      <c r="D235" s="16" t="str">
        <f>"0002147407"</f>
        <v>0002147407</v>
      </c>
      <c r="E235" s="17">
        <v>42704</v>
      </c>
      <c r="F235" s="17">
        <v>42723</v>
      </c>
      <c r="G235" s="17">
        <v>42765</v>
      </c>
      <c r="H235" s="16" t="s">
        <v>105</v>
      </c>
      <c r="I235" s="16">
        <v>347.7</v>
      </c>
      <c r="J235" s="16">
        <v>62.7</v>
      </c>
      <c r="K235" s="18">
        <v>285</v>
      </c>
      <c r="L235" s="19">
        <f t="shared" si="9"/>
        <v>-42</v>
      </c>
      <c r="M235" s="20">
        <f t="shared" si="10"/>
        <v>-11970</v>
      </c>
    </row>
    <row r="236" spans="1:13" s="1" customFormat="1" ht="12.75">
      <c r="A236" s="15" t="s">
        <v>147</v>
      </c>
      <c r="B236" s="16">
        <v>2049</v>
      </c>
      <c r="C236" s="17">
        <v>42721</v>
      </c>
      <c r="D236" s="16" t="s">
        <v>159</v>
      </c>
      <c r="E236" s="17">
        <v>42704</v>
      </c>
      <c r="F236" s="17">
        <v>42723</v>
      </c>
      <c r="G236" s="17">
        <v>42765</v>
      </c>
      <c r="H236" s="16" t="s">
        <v>105</v>
      </c>
      <c r="I236" s="16">
        <v>135.64</v>
      </c>
      <c r="J236" s="16">
        <v>0</v>
      </c>
      <c r="K236" s="18">
        <v>135.64</v>
      </c>
      <c r="L236" s="19">
        <f t="shared" si="9"/>
        <v>-42</v>
      </c>
      <c r="M236" s="20">
        <f t="shared" si="10"/>
        <v>-5696.879999999999</v>
      </c>
    </row>
    <row r="237" spans="1:13" s="1" customFormat="1" ht="12.75">
      <c r="A237" s="15" t="s">
        <v>35</v>
      </c>
      <c r="B237" s="16">
        <v>2050</v>
      </c>
      <c r="C237" s="17">
        <v>42721</v>
      </c>
      <c r="D237" s="16" t="str">
        <f>"20527"</f>
        <v>20527</v>
      </c>
      <c r="E237" s="17">
        <v>42704</v>
      </c>
      <c r="F237" s="17">
        <v>42723</v>
      </c>
      <c r="G237" s="17">
        <v>42747</v>
      </c>
      <c r="H237" s="16" t="s">
        <v>105</v>
      </c>
      <c r="I237" s="16">
        <v>218.5</v>
      </c>
      <c r="J237" s="16">
        <v>39.4</v>
      </c>
      <c r="K237" s="18">
        <v>179.1</v>
      </c>
      <c r="L237" s="19">
        <f t="shared" si="9"/>
        <v>-24</v>
      </c>
      <c r="M237" s="20">
        <f t="shared" si="10"/>
        <v>-4298.4</v>
      </c>
    </row>
    <row r="238" spans="1:13" s="1" customFormat="1" ht="12.75">
      <c r="A238" s="15" t="s">
        <v>35</v>
      </c>
      <c r="B238" s="16">
        <v>2051</v>
      </c>
      <c r="C238" s="17">
        <v>42721</v>
      </c>
      <c r="D238" s="16" t="str">
        <f>"20521"</f>
        <v>20521</v>
      </c>
      <c r="E238" s="17">
        <v>42704</v>
      </c>
      <c r="F238" s="17">
        <v>42723</v>
      </c>
      <c r="G238" s="17">
        <v>42747</v>
      </c>
      <c r="H238" s="16" t="s">
        <v>105</v>
      </c>
      <c r="I238" s="16">
        <v>134.2</v>
      </c>
      <c r="J238" s="16">
        <v>24.2</v>
      </c>
      <c r="K238" s="18">
        <v>110</v>
      </c>
      <c r="L238" s="19">
        <f t="shared" si="9"/>
        <v>-24</v>
      </c>
      <c r="M238" s="20">
        <f t="shared" si="10"/>
        <v>-2640</v>
      </c>
    </row>
    <row r="239" spans="1:13" s="1" customFormat="1" ht="12.75">
      <c r="A239" s="15" t="s">
        <v>158</v>
      </c>
      <c r="B239" s="16">
        <v>2053</v>
      </c>
      <c r="C239" s="17">
        <v>42725</v>
      </c>
      <c r="D239" s="16" t="str">
        <f>"20160036"</f>
        <v>20160036</v>
      </c>
      <c r="E239" s="17">
        <v>42704</v>
      </c>
      <c r="F239" s="17">
        <v>42725</v>
      </c>
      <c r="G239" s="17">
        <v>42766</v>
      </c>
      <c r="H239" s="16" t="s">
        <v>105</v>
      </c>
      <c r="I239" s="16">
        <v>95507.5</v>
      </c>
      <c r="J239" s="16">
        <v>8682.5</v>
      </c>
      <c r="K239" s="18">
        <v>86825</v>
      </c>
      <c r="L239" s="19">
        <f t="shared" si="9"/>
        <v>-41</v>
      </c>
      <c r="M239" s="20">
        <f t="shared" si="10"/>
        <v>-3559825</v>
      </c>
    </row>
    <row r="240" spans="1:13" s="1" customFormat="1" ht="39">
      <c r="A240" s="15" t="s">
        <v>149</v>
      </c>
      <c r="B240" s="16">
        <v>2054</v>
      </c>
      <c r="C240" s="17">
        <v>42725</v>
      </c>
      <c r="D240" s="16" t="s">
        <v>176</v>
      </c>
      <c r="E240" s="17">
        <v>42720</v>
      </c>
      <c r="F240" s="17">
        <v>42725</v>
      </c>
      <c r="G240" s="17">
        <v>42782</v>
      </c>
      <c r="H240" s="16" t="s">
        <v>105</v>
      </c>
      <c r="I240" s="16">
        <v>954.72</v>
      </c>
      <c r="J240" s="16">
        <v>36.72</v>
      </c>
      <c r="K240" s="18">
        <v>918</v>
      </c>
      <c r="L240" s="19">
        <f t="shared" si="9"/>
        <v>-57</v>
      </c>
      <c r="M240" s="20">
        <f t="shared" si="10"/>
        <v>-52326</v>
      </c>
    </row>
    <row r="241" spans="1:13" s="1" customFormat="1" ht="12.75">
      <c r="A241" s="15" t="s">
        <v>140</v>
      </c>
      <c r="B241" s="16">
        <v>2055</v>
      </c>
      <c r="C241" s="17">
        <v>42725</v>
      </c>
      <c r="D241" s="16" t="s">
        <v>141</v>
      </c>
      <c r="E241" s="17">
        <v>42717</v>
      </c>
      <c r="F241" s="17">
        <v>42725</v>
      </c>
      <c r="G241" s="17">
        <v>42755</v>
      </c>
      <c r="H241" s="16" t="s">
        <v>105</v>
      </c>
      <c r="I241" s="21">
        <v>160</v>
      </c>
      <c r="J241" s="16">
        <v>0</v>
      </c>
      <c r="K241" s="18">
        <v>160</v>
      </c>
      <c r="L241" s="19">
        <f t="shared" si="9"/>
        <v>-30</v>
      </c>
      <c r="M241" s="20">
        <f t="shared" si="10"/>
        <v>-4800</v>
      </c>
    </row>
    <row r="242" spans="1:13" s="1" customFormat="1" ht="12.75">
      <c r="A242" s="15" t="s">
        <v>103</v>
      </c>
      <c r="B242" s="16">
        <v>2155</v>
      </c>
      <c r="C242" s="17">
        <v>42731</v>
      </c>
      <c r="D242" s="22" t="s">
        <v>107</v>
      </c>
      <c r="E242" s="17">
        <v>42528</v>
      </c>
      <c r="F242" s="17">
        <v>42627</v>
      </c>
      <c r="G242" s="17">
        <v>42627</v>
      </c>
      <c r="H242" s="16" t="s">
        <v>105</v>
      </c>
      <c r="I242" s="16">
        <v>50.21</v>
      </c>
      <c r="J242" s="16">
        <v>0</v>
      </c>
      <c r="K242" s="18">
        <v>50.21</v>
      </c>
      <c r="L242" s="19">
        <f t="shared" si="9"/>
        <v>0</v>
      </c>
      <c r="M242" s="20">
        <f t="shared" si="10"/>
        <v>0</v>
      </c>
    </row>
    <row r="243" spans="1:13" s="1" customFormat="1" ht="12.75">
      <c r="A243" s="15" t="s">
        <v>103</v>
      </c>
      <c r="B243" s="16">
        <v>2155</v>
      </c>
      <c r="C243" s="17">
        <v>42731</v>
      </c>
      <c r="D243" s="22" t="s">
        <v>106</v>
      </c>
      <c r="E243" s="17">
        <v>42528</v>
      </c>
      <c r="F243" s="17">
        <v>42627</v>
      </c>
      <c r="G243" s="17">
        <v>42627</v>
      </c>
      <c r="H243" s="16" t="s">
        <v>105</v>
      </c>
      <c r="I243" s="16">
        <v>102.51</v>
      </c>
      <c r="J243" s="16">
        <v>0</v>
      </c>
      <c r="K243" s="18">
        <v>102.51</v>
      </c>
      <c r="L243" s="19">
        <f t="shared" si="9"/>
        <v>0</v>
      </c>
      <c r="M243" s="20">
        <f t="shared" si="10"/>
        <v>0</v>
      </c>
    </row>
    <row r="244" spans="1:13" s="1" customFormat="1" ht="12.75">
      <c r="A244" s="15" t="s">
        <v>103</v>
      </c>
      <c r="B244" s="16">
        <v>2155</v>
      </c>
      <c r="C244" s="17">
        <v>42731</v>
      </c>
      <c r="D244" s="22" t="s">
        <v>111</v>
      </c>
      <c r="E244" s="17">
        <v>42528</v>
      </c>
      <c r="F244" s="17">
        <v>42627</v>
      </c>
      <c r="G244" s="17">
        <v>42627</v>
      </c>
      <c r="H244" s="16" t="s">
        <v>105</v>
      </c>
      <c r="I244" s="16">
        <v>49.8</v>
      </c>
      <c r="J244" s="16">
        <v>0</v>
      </c>
      <c r="K244" s="18">
        <v>49.8</v>
      </c>
      <c r="L244" s="19">
        <f t="shared" si="9"/>
        <v>0</v>
      </c>
      <c r="M244" s="20">
        <f t="shared" si="10"/>
        <v>0</v>
      </c>
    </row>
    <row r="245" spans="1:13" s="1" customFormat="1" ht="12.75">
      <c r="A245" s="15" t="s">
        <v>103</v>
      </c>
      <c r="B245" s="16">
        <v>2156</v>
      </c>
      <c r="C245" s="17">
        <v>42731</v>
      </c>
      <c r="D245" s="22" t="s">
        <v>108</v>
      </c>
      <c r="E245" s="17">
        <v>42528</v>
      </c>
      <c r="F245" s="17">
        <v>42627</v>
      </c>
      <c r="G245" s="17">
        <v>42627</v>
      </c>
      <c r="H245" s="16" t="s">
        <v>105</v>
      </c>
      <c r="I245" s="16">
        <v>119.88</v>
      </c>
      <c r="J245" s="16">
        <v>0</v>
      </c>
      <c r="K245" s="18">
        <v>119.88</v>
      </c>
      <c r="L245" s="19">
        <f t="shared" si="9"/>
        <v>0</v>
      </c>
      <c r="M245" s="20">
        <f t="shared" si="10"/>
        <v>0</v>
      </c>
    </row>
    <row r="246" spans="1:13" s="1" customFormat="1" ht="12.75">
      <c r="A246" s="15" t="s">
        <v>103</v>
      </c>
      <c r="B246" s="16">
        <v>2157</v>
      </c>
      <c r="C246" s="17">
        <v>42731</v>
      </c>
      <c r="D246" s="22" t="s">
        <v>104</v>
      </c>
      <c r="E246" s="17">
        <v>42528</v>
      </c>
      <c r="F246" s="17">
        <v>42627</v>
      </c>
      <c r="G246" s="17">
        <v>42627</v>
      </c>
      <c r="H246" s="16" t="s">
        <v>105</v>
      </c>
      <c r="I246" s="16">
        <v>64.97</v>
      </c>
      <c r="J246" s="16">
        <v>0</v>
      </c>
      <c r="K246" s="18">
        <v>64.97</v>
      </c>
      <c r="L246" s="19">
        <f t="shared" si="9"/>
        <v>0</v>
      </c>
      <c r="M246" s="20">
        <f t="shared" si="10"/>
        <v>0</v>
      </c>
    </row>
    <row r="247" spans="1:13" s="1" customFormat="1" ht="12.75">
      <c r="A247" s="15" t="s">
        <v>103</v>
      </c>
      <c r="B247" s="16">
        <v>2158</v>
      </c>
      <c r="C247" s="17">
        <v>42731</v>
      </c>
      <c r="D247" s="22" t="s">
        <v>109</v>
      </c>
      <c r="E247" s="17">
        <v>42528</v>
      </c>
      <c r="F247" s="17">
        <v>42627</v>
      </c>
      <c r="G247" s="17">
        <v>42627</v>
      </c>
      <c r="H247" s="16" t="s">
        <v>105</v>
      </c>
      <c r="I247" s="16">
        <v>110.93</v>
      </c>
      <c r="J247" s="16">
        <v>0</v>
      </c>
      <c r="K247" s="18">
        <v>110.93</v>
      </c>
      <c r="L247" s="19">
        <f t="shared" si="9"/>
        <v>0</v>
      </c>
      <c r="M247" s="20">
        <f t="shared" si="10"/>
        <v>0</v>
      </c>
    </row>
    <row r="248" spans="1:13" s="1" customFormat="1" ht="12.75">
      <c r="A248" s="15" t="s">
        <v>103</v>
      </c>
      <c r="B248" s="16">
        <v>2159</v>
      </c>
      <c r="C248" s="17">
        <v>42731</v>
      </c>
      <c r="D248" s="22" t="s">
        <v>110</v>
      </c>
      <c r="E248" s="17">
        <v>42528</v>
      </c>
      <c r="F248" s="17">
        <v>42627</v>
      </c>
      <c r="G248" s="17">
        <v>42627</v>
      </c>
      <c r="H248" s="16" t="s">
        <v>105</v>
      </c>
      <c r="I248" s="16">
        <v>56.8</v>
      </c>
      <c r="J248" s="16">
        <v>0</v>
      </c>
      <c r="K248" s="18">
        <v>56.8</v>
      </c>
      <c r="L248" s="19">
        <f t="shared" si="9"/>
        <v>0</v>
      </c>
      <c r="M248" s="20">
        <f t="shared" si="10"/>
        <v>0</v>
      </c>
    </row>
    <row r="249" spans="1:13" s="1" customFormat="1" ht="12.75">
      <c r="A249" s="15" t="s">
        <v>103</v>
      </c>
      <c r="B249" s="16">
        <v>2160</v>
      </c>
      <c r="C249" s="17">
        <v>42731</v>
      </c>
      <c r="D249" s="16" t="s">
        <v>106</v>
      </c>
      <c r="E249" s="17">
        <v>42528</v>
      </c>
      <c r="F249" s="17">
        <v>42731</v>
      </c>
      <c r="G249" s="17">
        <v>42627</v>
      </c>
      <c r="H249" s="16" t="s">
        <v>105</v>
      </c>
      <c r="I249" s="16">
        <v>22.55</v>
      </c>
      <c r="J249" s="16">
        <v>22.55</v>
      </c>
      <c r="K249" s="18">
        <v>0</v>
      </c>
      <c r="L249" s="19">
        <f t="shared" si="9"/>
        <v>104</v>
      </c>
      <c r="M249" s="20">
        <f t="shared" si="10"/>
        <v>0</v>
      </c>
    </row>
    <row r="250" spans="1:13" s="1" customFormat="1" ht="12.75">
      <c r="A250" s="15" t="s">
        <v>103</v>
      </c>
      <c r="B250" s="16">
        <v>2160</v>
      </c>
      <c r="C250" s="17">
        <v>42731</v>
      </c>
      <c r="D250" s="16" t="s">
        <v>107</v>
      </c>
      <c r="E250" s="17">
        <v>42528</v>
      </c>
      <c r="F250" s="17">
        <v>42731</v>
      </c>
      <c r="G250" s="17">
        <v>42627</v>
      </c>
      <c r="H250" s="16" t="s">
        <v>105</v>
      </c>
      <c r="I250" s="16">
        <v>11.05</v>
      </c>
      <c r="J250" s="16">
        <v>11.05</v>
      </c>
      <c r="K250" s="18">
        <v>0</v>
      </c>
      <c r="L250" s="19">
        <f t="shared" si="9"/>
        <v>104</v>
      </c>
      <c r="M250" s="20">
        <f t="shared" si="10"/>
        <v>0</v>
      </c>
    </row>
    <row r="251" spans="1:13" s="1" customFormat="1" ht="12.75">
      <c r="A251" s="15" t="s">
        <v>103</v>
      </c>
      <c r="B251" s="16">
        <v>2160</v>
      </c>
      <c r="C251" s="17">
        <v>42731</v>
      </c>
      <c r="D251" s="22" t="s">
        <v>111</v>
      </c>
      <c r="E251" s="17">
        <v>42528</v>
      </c>
      <c r="F251" s="17">
        <v>42731</v>
      </c>
      <c r="G251" s="17">
        <v>42627</v>
      </c>
      <c r="H251" s="16" t="s">
        <v>105</v>
      </c>
      <c r="I251" s="16">
        <v>10.96</v>
      </c>
      <c r="J251" s="16">
        <v>10.96</v>
      </c>
      <c r="K251" s="18">
        <v>0</v>
      </c>
      <c r="L251" s="19">
        <f t="shared" si="9"/>
        <v>104</v>
      </c>
      <c r="M251" s="20">
        <f t="shared" si="10"/>
        <v>0</v>
      </c>
    </row>
    <row r="252" spans="1:13" s="1" customFormat="1" ht="12.75">
      <c r="A252" s="15" t="s">
        <v>103</v>
      </c>
      <c r="B252" s="16">
        <v>2161</v>
      </c>
      <c r="C252" s="17">
        <v>42731</v>
      </c>
      <c r="D252" s="16" t="s">
        <v>104</v>
      </c>
      <c r="E252" s="17">
        <v>42528</v>
      </c>
      <c r="F252" s="17">
        <v>42731</v>
      </c>
      <c r="G252" s="17">
        <v>42627</v>
      </c>
      <c r="H252" s="16" t="s">
        <v>105</v>
      </c>
      <c r="I252" s="16">
        <v>14.29</v>
      </c>
      <c r="J252" s="16">
        <v>14.29</v>
      </c>
      <c r="K252" s="18">
        <v>0</v>
      </c>
      <c r="L252" s="19">
        <f t="shared" si="9"/>
        <v>104</v>
      </c>
      <c r="M252" s="20">
        <f t="shared" si="10"/>
        <v>0</v>
      </c>
    </row>
    <row r="253" spans="1:13" s="1" customFormat="1" ht="12.75">
      <c r="A253" s="15" t="s">
        <v>103</v>
      </c>
      <c r="B253" s="16">
        <v>2162</v>
      </c>
      <c r="C253" s="17">
        <v>42731</v>
      </c>
      <c r="D253" s="22" t="s">
        <v>108</v>
      </c>
      <c r="E253" s="17">
        <v>42528</v>
      </c>
      <c r="F253" s="17">
        <v>42731</v>
      </c>
      <c r="G253" s="17">
        <v>42627</v>
      </c>
      <c r="H253" s="16" t="s">
        <v>105</v>
      </c>
      <c r="I253" s="16">
        <v>26.37</v>
      </c>
      <c r="J253" s="16">
        <v>26.37</v>
      </c>
      <c r="K253" s="18">
        <v>0</v>
      </c>
      <c r="L253" s="19">
        <f t="shared" si="9"/>
        <v>104</v>
      </c>
      <c r="M253" s="20">
        <f t="shared" si="10"/>
        <v>0</v>
      </c>
    </row>
    <row r="254" spans="1:13" s="1" customFormat="1" ht="12.75">
      <c r="A254" s="15" t="s">
        <v>103</v>
      </c>
      <c r="B254" s="16">
        <v>2163</v>
      </c>
      <c r="C254" s="17">
        <v>42731</v>
      </c>
      <c r="D254" s="22" t="s">
        <v>109</v>
      </c>
      <c r="E254" s="17">
        <v>42528</v>
      </c>
      <c r="F254" s="17">
        <v>42731</v>
      </c>
      <c r="G254" s="17">
        <v>42627</v>
      </c>
      <c r="H254" s="16" t="s">
        <v>105</v>
      </c>
      <c r="I254" s="16">
        <v>24.4</v>
      </c>
      <c r="J254" s="16">
        <v>24.4</v>
      </c>
      <c r="K254" s="18">
        <v>0</v>
      </c>
      <c r="L254" s="19">
        <f t="shared" si="9"/>
        <v>104</v>
      </c>
      <c r="M254" s="20">
        <f t="shared" si="10"/>
        <v>0</v>
      </c>
    </row>
    <row r="255" spans="1:13" s="1" customFormat="1" ht="12.75">
      <c r="A255" s="15" t="s">
        <v>103</v>
      </c>
      <c r="B255" s="16">
        <v>2164</v>
      </c>
      <c r="C255" s="17">
        <v>42731</v>
      </c>
      <c r="D255" s="22" t="s">
        <v>110</v>
      </c>
      <c r="E255" s="17">
        <v>42528</v>
      </c>
      <c r="F255" s="17">
        <v>42731</v>
      </c>
      <c r="G255" s="17">
        <v>42627</v>
      </c>
      <c r="H255" s="16" t="s">
        <v>105</v>
      </c>
      <c r="I255" s="16">
        <v>12.5</v>
      </c>
      <c r="J255" s="16">
        <v>12.5</v>
      </c>
      <c r="K255" s="18">
        <v>0</v>
      </c>
      <c r="L255" s="19">
        <f t="shared" si="9"/>
        <v>104</v>
      </c>
      <c r="M255" s="20">
        <f t="shared" si="10"/>
        <v>0</v>
      </c>
    </row>
    <row r="256" spans="1:13" s="1" customFormat="1" ht="13.5" thickBot="1">
      <c r="A256" s="23" t="s">
        <v>186</v>
      </c>
      <c r="B256" s="24">
        <v>0</v>
      </c>
      <c r="C256" s="25"/>
      <c r="D256" s="24" t="s">
        <v>187</v>
      </c>
      <c r="E256" s="25"/>
      <c r="F256" s="25"/>
      <c r="G256" s="25"/>
      <c r="H256" s="24"/>
      <c r="I256" s="26">
        <f>SUM(I2:I255)</f>
        <v>1279416.6899999997</v>
      </c>
      <c r="J256" s="26">
        <f>SUM(J2:J255)</f>
        <v>176627.28</v>
      </c>
      <c r="K256" s="27">
        <f>SUM(K2:K255)</f>
        <v>1102789.4100000001</v>
      </c>
      <c r="L256" s="28">
        <f>+M256/K256</f>
        <v>-41.784195207315214</v>
      </c>
      <c r="M256" s="29">
        <f>SUM(M2:M255)</f>
        <v>-46079167.97999998</v>
      </c>
    </row>
    <row r="257" spans="3:13" s="1" customFormat="1" ht="12.75">
      <c r="C257" s="30"/>
      <c r="E257" s="30"/>
      <c r="F257" s="30"/>
      <c r="G257" s="30"/>
      <c r="K257" s="2"/>
      <c r="L257" s="31"/>
      <c r="M257" s="9"/>
    </row>
    <row r="258" spans="3:12" ht="12.75">
      <c r="C258" s="4"/>
      <c r="E258" s="4"/>
      <c r="F258" s="4"/>
      <c r="G258" s="4"/>
      <c r="L258" s="6"/>
    </row>
    <row r="259" spans="3:12" ht="12.75">
      <c r="C259" s="4"/>
      <c r="E259" s="4"/>
      <c r="F259" s="4"/>
      <c r="G259" s="4"/>
      <c r="L259" s="6"/>
    </row>
    <row r="260" spans="3:12" ht="12.75">
      <c r="C260" s="4"/>
      <c r="E260" s="4"/>
      <c r="F260" s="4"/>
      <c r="G260" s="4"/>
      <c r="L260" s="6"/>
    </row>
    <row r="261" spans="3:12" ht="12.75">
      <c r="C261" s="4"/>
      <c r="E261" s="4"/>
      <c r="F261" s="4"/>
      <c r="G261" s="4"/>
      <c r="L261" s="6"/>
    </row>
    <row r="262" spans="3:12" ht="12.75">
      <c r="C262" s="4"/>
      <c r="E262" s="4"/>
      <c r="F262" s="4"/>
      <c r="G262" s="4"/>
      <c r="I262" s="8"/>
      <c r="L262" s="6"/>
    </row>
    <row r="263" spans="3:12" ht="12.75">
      <c r="C263" s="4"/>
      <c r="E263" s="4"/>
      <c r="F263" s="4"/>
      <c r="G263" s="4"/>
      <c r="L263" s="6"/>
    </row>
    <row r="264" spans="3:12" ht="12.75">
      <c r="C264" s="4"/>
      <c r="E264" s="4"/>
      <c r="F264" s="4"/>
      <c r="G264" s="4"/>
      <c r="L264" s="6"/>
    </row>
    <row r="265" spans="3:12" ht="12.75">
      <c r="C265" s="4"/>
      <c r="E265" s="4"/>
      <c r="F265" s="4"/>
      <c r="G265" s="4"/>
      <c r="L265" s="6"/>
    </row>
    <row r="266" spans="3:12" ht="12.75">
      <c r="C266" s="4"/>
      <c r="E266" s="4"/>
      <c r="F266" s="4"/>
      <c r="G266" s="4"/>
      <c r="I266" s="8"/>
      <c r="J266" s="8"/>
      <c r="L266" s="6"/>
    </row>
    <row r="267" spans="3:12" ht="12.75">
      <c r="C267" s="4"/>
      <c r="E267" s="4"/>
      <c r="F267" s="4"/>
      <c r="G267" s="4"/>
      <c r="I267" s="8"/>
      <c r="L267" s="6"/>
    </row>
    <row r="268" spans="3:12" ht="12.75">
      <c r="C268" s="4"/>
      <c r="E268" s="4"/>
      <c r="F268" s="4"/>
      <c r="G268" s="4"/>
      <c r="I268" s="8"/>
      <c r="L268" s="6"/>
    </row>
    <row r="269" spans="3:12" ht="12.75">
      <c r="C269" s="4"/>
      <c r="E269" s="4"/>
      <c r="F269" s="4"/>
      <c r="G269" s="4"/>
      <c r="L269" s="6"/>
    </row>
    <row r="270" spans="3:12" ht="12.75">
      <c r="C270" s="4"/>
      <c r="E270" s="4"/>
      <c r="F270" s="4"/>
      <c r="G270" s="4"/>
      <c r="L270" s="6"/>
    </row>
    <row r="271" spans="3:12" ht="12.75">
      <c r="C271" s="4"/>
      <c r="E271" s="4"/>
      <c r="F271" s="4"/>
      <c r="G271" s="4"/>
      <c r="I271" s="8"/>
      <c r="L271" s="6"/>
    </row>
    <row r="272" spans="3:12" ht="12.75">
      <c r="C272" s="4"/>
      <c r="E272" s="4"/>
      <c r="F272" s="4"/>
      <c r="G272" s="4"/>
      <c r="I272" s="8"/>
      <c r="L272" s="6"/>
    </row>
    <row r="273" spans="3:12" ht="12.75">
      <c r="C273" s="4"/>
      <c r="E273" s="4"/>
      <c r="F273" s="4"/>
      <c r="G273" s="4"/>
      <c r="L273" s="6"/>
    </row>
    <row r="274" spans="3:12" ht="12.75">
      <c r="C274" s="4"/>
      <c r="E274" s="4"/>
      <c r="F274" s="4"/>
      <c r="G274" s="4"/>
      <c r="L274" s="6"/>
    </row>
    <row r="275" spans="3:12" ht="12.75">
      <c r="C275" s="4"/>
      <c r="D275" s="5"/>
      <c r="E275" s="4"/>
      <c r="F275" s="4"/>
      <c r="G275" s="4"/>
      <c r="L275" s="6"/>
    </row>
    <row r="276" spans="3:12" ht="12.75">
      <c r="C276" s="4"/>
      <c r="E276" s="4"/>
      <c r="F276" s="4"/>
      <c r="G276" s="4"/>
      <c r="L276" s="6"/>
    </row>
    <row r="277" spans="9:10" ht="12.75">
      <c r="I277" s="8"/>
      <c r="J277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Sanguinetto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Sanguinetto</dc:creator>
  <cp:keywords/>
  <dc:description/>
  <cp:lastModifiedBy>Comune di Sanguinetto</cp:lastModifiedBy>
  <cp:lastPrinted>2017-01-25T15:30:08Z</cp:lastPrinted>
  <dcterms:created xsi:type="dcterms:W3CDTF">2017-01-25T08:31:43Z</dcterms:created>
  <dcterms:modified xsi:type="dcterms:W3CDTF">2017-01-25T15:51:12Z</dcterms:modified>
  <cp:category/>
  <cp:version/>
  <cp:contentType/>
  <cp:contentStatus/>
</cp:coreProperties>
</file>