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600" activeTab="0"/>
  </bookViews>
  <sheets>
    <sheet name="L_RIT" sheetId="1" r:id="rId1"/>
  </sheets>
  <definedNames/>
  <calcPr fullCalcOnLoad="1"/>
</workbook>
</file>

<file path=xl/sharedStrings.xml><?xml version="1.0" encoding="utf-8"?>
<sst xmlns="http://schemas.openxmlformats.org/spreadsheetml/2006/main" count="621" uniqueCount="215">
  <si>
    <t>HYPERCOMNET SRL</t>
  </si>
  <si>
    <t>STUDIO DI ARCHITETTURA ALBERTO SARTORI</t>
  </si>
  <si>
    <t>C.A.M.V.O. S.p.A.</t>
  </si>
  <si>
    <t>61/E</t>
  </si>
  <si>
    <t>DIREZ.PROV.PP.TT.-RAGIONER.PROV.MACCHINE AFFRANCATRICE</t>
  </si>
  <si>
    <t>GLOBAL POWER SERVICE SPA</t>
  </si>
  <si>
    <t>2017-V5-136</t>
  </si>
  <si>
    <t>AGRIVERDE</t>
  </si>
  <si>
    <t>6/PA</t>
  </si>
  <si>
    <t>ZANIBONI VINCENZO</t>
  </si>
  <si>
    <t>2/PA</t>
  </si>
  <si>
    <t>MAT NUCLEO DI MATTEO VANINI</t>
  </si>
  <si>
    <t>3/PA</t>
  </si>
  <si>
    <t>8E00567611</t>
  </si>
  <si>
    <t>8E00563439</t>
  </si>
  <si>
    <t>8E00570714</t>
  </si>
  <si>
    <t>SONEPAR ITALIA SPA</t>
  </si>
  <si>
    <t>A.T. SERVICE SRL</t>
  </si>
  <si>
    <t>LADE s.r.l.</t>
  </si>
  <si>
    <t>0000041/PA</t>
  </si>
  <si>
    <t>VPA/421</t>
  </si>
  <si>
    <t>1/170246</t>
  </si>
  <si>
    <t>1/170247</t>
  </si>
  <si>
    <t>LIUZZI LUCA</t>
  </si>
  <si>
    <t>1PA</t>
  </si>
  <si>
    <t>V1-1086-2017</t>
  </si>
  <si>
    <t>2017-V5-197</t>
  </si>
  <si>
    <t>V1-1029-2017</t>
  </si>
  <si>
    <t>V1-1030-2017</t>
  </si>
  <si>
    <t>V1-1031-2017</t>
  </si>
  <si>
    <t>WOLTERS KLUVER ITALIA SRL LEGGI D'ITALIA</t>
  </si>
  <si>
    <t>SPERANZA SOC. COOP. SOC. ONLUS</t>
  </si>
  <si>
    <t>356/19</t>
  </si>
  <si>
    <t>355/19</t>
  </si>
  <si>
    <t>TERMOIDRAULICA ZONZINI PIETRO SRL</t>
  </si>
  <si>
    <t>FATTPA 2_17</t>
  </si>
  <si>
    <t>CASA DI RIPOSO SAN BIAGIO</t>
  </si>
  <si>
    <t>56/E</t>
  </si>
  <si>
    <t>VERDEARANCIO SOCIETA'COOPERATIVA SOCIALE -ONLUS</t>
  </si>
  <si>
    <t>09/PA</t>
  </si>
  <si>
    <t>IL PONTE SOCIETA' COOPERATIVA SOCIALE O.N.L.U.S.</t>
  </si>
  <si>
    <t>2017   149/E</t>
  </si>
  <si>
    <t>SICLI SRL</t>
  </si>
  <si>
    <t>102/PA</t>
  </si>
  <si>
    <t>V0/90963</t>
  </si>
  <si>
    <t>V0/90961</t>
  </si>
  <si>
    <t>V0/90962</t>
  </si>
  <si>
    <t>V0/90969</t>
  </si>
  <si>
    <t>V0/90964</t>
  </si>
  <si>
    <t>V0/90965</t>
  </si>
  <si>
    <t>V0/90968</t>
  </si>
  <si>
    <t>LEGGERE SRL</t>
  </si>
  <si>
    <t>RETE FERROVIARIA ITALIANA S.p.A.</t>
  </si>
  <si>
    <t>0000039/PA</t>
  </si>
  <si>
    <t>GARZON ALESSANDRO</t>
  </si>
  <si>
    <t>147/01</t>
  </si>
  <si>
    <t>Beneficiario</t>
  </si>
  <si>
    <t>Mandato</t>
  </si>
  <si>
    <t>Data mandato</t>
  </si>
  <si>
    <t>Num. fattura</t>
  </si>
  <si>
    <t>Data fattura</t>
  </si>
  <si>
    <t>Data pagamento</t>
  </si>
  <si>
    <t>Data scadenza</t>
  </si>
  <si>
    <t>Data rif.(#)</t>
  </si>
  <si>
    <t>Importo</t>
  </si>
  <si>
    <t>Iva split</t>
  </si>
  <si>
    <t>Netto</t>
  </si>
  <si>
    <t>GG diff.</t>
  </si>
  <si>
    <t>Prodotto</t>
  </si>
  <si>
    <t>GESTORE DEI SERVIZI ELETTRICI SPA</t>
  </si>
  <si>
    <t>P</t>
  </si>
  <si>
    <t>ACQUE VERONESI S.C.A.R.L.</t>
  </si>
  <si>
    <t>S</t>
  </si>
  <si>
    <t>GRAFICHE E.GASPARI SRL</t>
  </si>
  <si>
    <t>COMUNITA' GIOVANNI XXIII IL CALABRONE-SOC.COOP.SOCIALE</t>
  </si>
  <si>
    <t>31/E</t>
  </si>
  <si>
    <t>DOLOMITI ENERGIA SPA</t>
  </si>
  <si>
    <t>51/E</t>
  </si>
  <si>
    <t>GLOBAL POWER SPA</t>
  </si>
  <si>
    <t>V0/67048</t>
  </si>
  <si>
    <t>ECOTRAFFIC SAS</t>
  </si>
  <si>
    <t>VPA/357</t>
  </si>
  <si>
    <t>V0/67044</t>
  </si>
  <si>
    <t>ANTICIMEX SRL</t>
  </si>
  <si>
    <t>826/PA</t>
  </si>
  <si>
    <t>ELIA COSTRUZIONE SAS DI FERKO ALFRED &amp; C.</t>
  </si>
  <si>
    <t>PA 301</t>
  </si>
  <si>
    <t>ISTITUTO POLIGRAFICO E ZECCA DELLO STATO</t>
  </si>
  <si>
    <t>ROSSI ALDO</t>
  </si>
  <si>
    <t>1E</t>
  </si>
  <si>
    <t>468/19</t>
  </si>
  <si>
    <t>INTERAZIONE SRL</t>
  </si>
  <si>
    <t>83/02</t>
  </si>
  <si>
    <t>ELETTRO FLASH S.N.C. DI BALDASSARI GIANLUIGI E C</t>
  </si>
  <si>
    <t>SAV CONSULENZA &amp; MARKETING S.R.L.</t>
  </si>
  <si>
    <t>0000040/PA</t>
  </si>
  <si>
    <t>ACCATRE S.R.L.</t>
  </si>
  <si>
    <t>1/170664</t>
  </si>
  <si>
    <t>409/19</t>
  </si>
  <si>
    <t>ARUBA S.P.A.</t>
  </si>
  <si>
    <t>A17PAS0007687</t>
  </si>
  <si>
    <t>2017   105/E</t>
  </si>
  <si>
    <t>ARGEMA SRL</t>
  </si>
  <si>
    <t>18/PA/2017</t>
  </si>
  <si>
    <t>DALL'AIO VIAGGI S.N.C. di DALL'AIO SERGIO &amp;.C</t>
  </si>
  <si>
    <t>27/PA</t>
  </si>
  <si>
    <t>SIVE S.R.L.</t>
  </si>
  <si>
    <t>08/PA</t>
  </si>
  <si>
    <t>CONSORZIO EUROBUS VERONA SOC. COOP.</t>
  </si>
  <si>
    <t>365/FE</t>
  </si>
  <si>
    <t>8E00786485</t>
  </si>
  <si>
    <t>8E00781517</t>
  </si>
  <si>
    <t>8E00778982</t>
  </si>
  <si>
    <t>8E00786983</t>
  </si>
  <si>
    <t>8E00786249</t>
  </si>
  <si>
    <t>8E00784718</t>
  </si>
  <si>
    <t>8E00783613</t>
  </si>
  <si>
    <t>8E00782233</t>
  </si>
  <si>
    <t>8E00779558</t>
  </si>
  <si>
    <t>8E00783439</t>
  </si>
  <si>
    <t>8E00786278</t>
  </si>
  <si>
    <t>8E00782537</t>
  </si>
  <si>
    <t>8E00782544</t>
  </si>
  <si>
    <t>2017   126/E</t>
  </si>
  <si>
    <t>411/19</t>
  </si>
  <si>
    <t>10/PA</t>
  </si>
  <si>
    <t>I.C.E.A.M. SRL</t>
  </si>
  <si>
    <t>2017    31/E</t>
  </si>
  <si>
    <t>ARUBA PEC SPA</t>
  </si>
  <si>
    <t>A17PMS0000486</t>
  </si>
  <si>
    <t>401/FE</t>
  </si>
  <si>
    <t>402/FE</t>
  </si>
  <si>
    <t>LIBRERIA CORTINA EDITRICE S.R.L.</t>
  </si>
  <si>
    <t>0000436/PA</t>
  </si>
  <si>
    <t>59/E</t>
  </si>
  <si>
    <t>60/E</t>
  </si>
  <si>
    <t>0000437/PA</t>
  </si>
  <si>
    <t>0000438/PA</t>
  </si>
  <si>
    <t xml:space="preserve"> SICONTRAF S.R.L.</t>
  </si>
  <si>
    <t>150/PA</t>
  </si>
  <si>
    <t>KYOCERA DOCUMENT SOLUTIONS ITALIA S.P.A.</t>
  </si>
  <si>
    <t>67/E</t>
  </si>
  <si>
    <t>ADDICALCO SOC.R.L.</t>
  </si>
  <si>
    <t>426/00002</t>
  </si>
  <si>
    <t>* RISULTATO 3o TRIMESTRE *</t>
  </si>
  <si>
    <t>2017-V5-180</t>
  </si>
  <si>
    <t>VENETO STRADE S.p.A.</t>
  </si>
  <si>
    <t>NEOPOST RENTAL ITALIA SRL</t>
  </si>
  <si>
    <t>FONDAZIONE GIOVANNI MERITANI</t>
  </si>
  <si>
    <t>79/E</t>
  </si>
  <si>
    <t>CONSORZIO ENERGIA VENETO</t>
  </si>
  <si>
    <t>V1-820-2017</t>
  </si>
  <si>
    <t>VPA/248</t>
  </si>
  <si>
    <t>CHILESE STEFANO</t>
  </si>
  <si>
    <t>000001-2017-PA</t>
  </si>
  <si>
    <t>NOMODIDATTICA S.R.L.</t>
  </si>
  <si>
    <t>163/2017</t>
  </si>
  <si>
    <t>V0/78874</t>
  </si>
  <si>
    <t>V0/78870</t>
  </si>
  <si>
    <t>V0/78866</t>
  </si>
  <si>
    <t>V0/78873</t>
  </si>
  <si>
    <t>V0/78867</t>
  </si>
  <si>
    <t>V0/78869</t>
  </si>
  <si>
    <t>V0/78868</t>
  </si>
  <si>
    <t>VPA/420</t>
  </si>
  <si>
    <t>OLIVETTI S.P.A.</t>
  </si>
  <si>
    <t>COOPERATIVA OMEGA</t>
  </si>
  <si>
    <t>0000038/PA</t>
  </si>
  <si>
    <t>V0/78865</t>
  </si>
  <si>
    <t>V0/78871</t>
  </si>
  <si>
    <t>V0/78872</t>
  </si>
  <si>
    <t>MAGGIOLI S.P.A.</t>
  </si>
  <si>
    <t>991/PA</t>
  </si>
  <si>
    <t>7/PA</t>
  </si>
  <si>
    <t>NEOPOST ITALIA SRL</t>
  </si>
  <si>
    <t>BOXXAPPS SRL</t>
  </si>
  <si>
    <t>1/170215</t>
  </si>
  <si>
    <t>FORNARI ANDREA</t>
  </si>
  <si>
    <t>00001/PA</t>
  </si>
  <si>
    <t>V0/90967</t>
  </si>
  <si>
    <t>V0/90966</t>
  </si>
  <si>
    <t>V0/90960</t>
  </si>
  <si>
    <t>ELEKTRIS DI MARTINI TIZIANO</t>
  </si>
  <si>
    <t>2/E/2017</t>
  </si>
  <si>
    <t>V0/103304</t>
  </si>
  <si>
    <t>V0/103307</t>
  </si>
  <si>
    <t>V0/103305</t>
  </si>
  <si>
    <t>V0/103311</t>
  </si>
  <si>
    <t>V0/103309</t>
  </si>
  <si>
    <t>V0/103303</t>
  </si>
  <si>
    <t>V0/103302</t>
  </si>
  <si>
    <t>V0/103308</t>
  </si>
  <si>
    <t>V0/103310</t>
  </si>
  <si>
    <t>V0/103306</t>
  </si>
  <si>
    <t>ELMA ASCENSORI S.P.A.</t>
  </si>
  <si>
    <t>TELECOM ITALIA S.P.A.</t>
  </si>
  <si>
    <t>7X02577368</t>
  </si>
  <si>
    <t>ARENA ASCENSORI S.R.L.</t>
  </si>
  <si>
    <t>000101/17/PA</t>
  </si>
  <si>
    <t>GEA ASSOCIAZ. EDUCAZIONE AMBIENTALE ONLUS</t>
  </si>
  <si>
    <t>SCAVI MARTINELLI. S.N.C</t>
  </si>
  <si>
    <t>07/PA</t>
  </si>
  <si>
    <t>2017-V5-156</t>
  </si>
  <si>
    <t>ASSOCIAZIONE PRO LOCO `LE CONTRA'`</t>
  </si>
  <si>
    <t>2FE</t>
  </si>
  <si>
    <t>8E00567665</t>
  </si>
  <si>
    <t>8E00571146</t>
  </si>
  <si>
    <t>8E00570464</t>
  </si>
  <si>
    <t>8E00566139</t>
  </si>
  <si>
    <t>8E00567226</t>
  </si>
  <si>
    <t>8E00563913</t>
  </si>
  <si>
    <t>8E00570091</t>
  </si>
  <si>
    <t>8E00563050</t>
  </si>
  <si>
    <t>8E00563202</t>
  </si>
  <si>
    <t>8E00570094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</si>
</sst>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14" fontId="0" fillId="2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1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2" fontId="0" fillId="3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3"/>
  <sheetViews>
    <sheetView tabSelected="1" workbookViewId="0" topLeftCell="A1">
      <pane ySplit="1" topLeftCell="BM2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40.57421875" style="0" customWidth="1"/>
    <col min="2" max="2" width="8.140625" style="0" hidden="1" customWidth="1"/>
    <col min="3" max="3" width="12.57421875" style="0" hidden="1" customWidth="1"/>
    <col min="4" max="4" width="20.28125" style="0" bestFit="1" customWidth="1"/>
    <col min="5" max="5" width="10.57421875" style="0" bestFit="1" customWidth="1"/>
    <col min="6" max="6" width="10.140625" style="0" bestFit="1" customWidth="1"/>
    <col min="7" max="7" width="10.140625" style="5" bestFit="1" customWidth="1"/>
    <col min="8" max="8" width="5.140625" style="0" hidden="1" customWidth="1"/>
    <col min="9" max="9" width="10.140625" style="0" customWidth="1"/>
    <col min="11" max="11" width="10.140625" style="0" customWidth="1"/>
    <col min="12" max="12" width="7.28125" style="0" bestFit="1" customWidth="1"/>
    <col min="13" max="13" width="12.28125" style="0" bestFit="1" customWidth="1"/>
    <col min="14" max="15" width="10.140625" style="0" bestFit="1" customWidth="1"/>
  </cols>
  <sheetData>
    <row r="1" spans="1:13" s="3" customFormat="1" ht="25.5">
      <c r="A1" s="6" t="s">
        <v>56</v>
      </c>
      <c r="B1" s="6" t="s">
        <v>57</v>
      </c>
      <c r="C1" s="6" t="s">
        <v>58</v>
      </c>
      <c r="D1" s="6" t="s">
        <v>59</v>
      </c>
      <c r="E1" s="6" t="s">
        <v>60</v>
      </c>
      <c r="F1" s="6" t="s">
        <v>61</v>
      </c>
      <c r="G1" s="7" t="s">
        <v>62</v>
      </c>
      <c r="H1" s="6" t="s">
        <v>63</v>
      </c>
      <c r="I1" s="6" t="s">
        <v>64</v>
      </c>
      <c r="J1" s="6" t="s">
        <v>65</v>
      </c>
      <c r="K1" s="6" t="s">
        <v>66</v>
      </c>
      <c r="L1" s="6" t="s">
        <v>67</v>
      </c>
      <c r="M1" s="6" t="s">
        <v>68</v>
      </c>
    </row>
    <row r="2" spans="1:15" ht="12.75">
      <c r="A2" s="8" t="s">
        <v>69</v>
      </c>
      <c r="B2" s="8">
        <v>1148</v>
      </c>
      <c r="C2" s="9">
        <v>42940</v>
      </c>
      <c r="D2" s="8" t="str">
        <f>"36816"</f>
        <v>36816</v>
      </c>
      <c r="E2" s="9">
        <v>42692</v>
      </c>
      <c r="F2" s="9">
        <v>42942</v>
      </c>
      <c r="G2" s="10">
        <v>42725</v>
      </c>
      <c r="H2" s="8" t="s">
        <v>70</v>
      </c>
      <c r="I2" s="8">
        <v>40.55</v>
      </c>
      <c r="J2" s="8">
        <v>7.31</v>
      </c>
      <c r="K2" s="8">
        <v>33.24</v>
      </c>
      <c r="L2" s="8">
        <f aca="true" t="shared" si="0" ref="L2:L33">+F2-G2</f>
        <v>217</v>
      </c>
      <c r="M2" s="11">
        <f aca="true" t="shared" si="1" ref="M2:M33">+K2*L2</f>
        <v>7213.080000000001</v>
      </c>
      <c r="N2" s="1"/>
      <c r="O2" s="4"/>
    </row>
    <row r="3" spans="1:15" ht="12.75">
      <c r="A3" s="8" t="s">
        <v>69</v>
      </c>
      <c r="B3" s="8">
        <v>1148</v>
      </c>
      <c r="C3" s="9">
        <v>42940</v>
      </c>
      <c r="D3" s="8" t="str">
        <f>"36817"</f>
        <v>36817</v>
      </c>
      <c r="E3" s="9">
        <v>42692</v>
      </c>
      <c r="F3" s="9">
        <v>42942</v>
      </c>
      <c r="G3" s="10">
        <v>42725</v>
      </c>
      <c r="H3" s="8" t="s">
        <v>70</v>
      </c>
      <c r="I3" s="8">
        <v>40.55</v>
      </c>
      <c r="J3" s="8">
        <v>7.31</v>
      </c>
      <c r="K3" s="8">
        <v>33.24</v>
      </c>
      <c r="L3" s="8">
        <f t="shared" si="0"/>
        <v>217</v>
      </c>
      <c r="M3" s="11">
        <f t="shared" si="1"/>
        <v>7213.080000000001</v>
      </c>
      <c r="N3" s="1"/>
      <c r="O3" s="4"/>
    </row>
    <row r="4" spans="1:15" ht="12.75">
      <c r="A4" s="8" t="s">
        <v>69</v>
      </c>
      <c r="B4" s="8">
        <v>1148</v>
      </c>
      <c r="C4" s="9">
        <v>42940</v>
      </c>
      <c r="D4" s="8" t="str">
        <f>"38302"</f>
        <v>38302</v>
      </c>
      <c r="E4" s="9">
        <v>42692</v>
      </c>
      <c r="F4" s="9">
        <v>42942</v>
      </c>
      <c r="G4" s="10">
        <v>42725</v>
      </c>
      <c r="H4" s="8" t="s">
        <v>70</v>
      </c>
      <c r="I4" s="8">
        <v>40.55</v>
      </c>
      <c r="J4" s="8">
        <v>7.31</v>
      </c>
      <c r="K4" s="8">
        <v>33.24</v>
      </c>
      <c r="L4" s="8">
        <f t="shared" si="0"/>
        <v>217</v>
      </c>
      <c r="M4" s="11">
        <f t="shared" si="1"/>
        <v>7213.080000000001</v>
      </c>
      <c r="N4" s="1"/>
      <c r="O4" s="4"/>
    </row>
    <row r="5" spans="1:15" ht="12.75">
      <c r="A5" s="8" t="s">
        <v>71</v>
      </c>
      <c r="B5" s="8">
        <v>1395</v>
      </c>
      <c r="C5" s="9">
        <v>42977</v>
      </c>
      <c r="D5" s="8" t="str">
        <f>"0350120170800024800"</f>
        <v>0350120170800024800</v>
      </c>
      <c r="E5" s="9">
        <v>42761</v>
      </c>
      <c r="F5" s="9">
        <v>42977</v>
      </c>
      <c r="G5" s="10">
        <v>42797</v>
      </c>
      <c r="H5" s="8" t="s">
        <v>72</v>
      </c>
      <c r="I5" s="8">
        <v>371</v>
      </c>
      <c r="J5" s="8">
        <v>33.73</v>
      </c>
      <c r="K5" s="8">
        <v>337.27</v>
      </c>
      <c r="L5" s="8">
        <f t="shared" si="0"/>
        <v>180</v>
      </c>
      <c r="M5" s="11">
        <f t="shared" si="1"/>
        <v>60708.6</v>
      </c>
      <c r="N5" s="1"/>
      <c r="O5" s="4"/>
    </row>
    <row r="6" spans="1:15" ht="12.75">
      <c r="A6" s="8" t="s">
        <v>71</v>
      </c>
      <c r="B6" s="8">
        <v>1283</v>
      </c>
      <c r="C6" s="9">
        <v>42950</v>
      </c>
      <c r="D6" s="8" t="str">
        <f>"0350120170800046700"</f>
        <v>0350120170800046700</v>
      </c>
      <c r="E6" s="9">
        <v>42769</v>
      </c>
      <c r="F6" s="9">
        <v>42952</v>
      </c>
      <c r="G6" s="10">
        <v>42807</v>
      </c>
      <c r="H6" s="8" t="s">
        <v>72</v>
      </c>
      <c r="I6" s="8">
        <v>55.33</v>
      </c>
      <c r="J6" s="8">
        <v>5.03</v>
      </c>
      <c r="K6" s="8">
        <v>50.3</v>
      </c>
      <c r="L6" s="8">
        <f t="shared" si="0"/>
        <v>145</v>
      </c>
      <c r="M6" s="11">
        <f t="shared" si="1"/>
        <v>7293.5</v>
      </c>
      <c r="N6" s="1"/>
      <c r="O6" s="4"/>
    </row>
    <row r="7" spans="1:15" ht="12.75">
      <c r="A7" s="8" t="s">
        <v>71</v>
      </c>
      <c r="B7" s="8">
        <v>1282</v>
      </c>
      <c r="C7" s="9">
        <v>42950</v>
      </c>
      <c r="D7" s="8" t="str">
        <f>"0350120170800048300"</f>
        <v>0350120170800048300</v>
      </c>
      <c r="E7" s="9">
        <v>42769</v>
      </c>
      <c r="F7" s="9">
        <v>42952</v>
      </c>
      <c r="G7" s="10">
        <v>42807</v>
      </c>
      <c r="H7" s="8" t="s">
        <v>72</v>
      </c>
      <c r="I7" s="8">
        <v>1.39</v>
      </c>
      <c r="J7" s="8">
        <v>0.13</v>
      </c>
      <c r="K7" s="8">
        <v>1.26</v>
      </c>
      <c r="L7" s="8">
        <f t="shared" si="0"/>
        <v>145</v>
      </c>
      <c r="M7" s="11">
        <f t="shared" si="1"/>
        <v>182.7</v>
      </c>
      <c r="N7" s="1"/>
      <c r="O7" s="4"/>
    </row>
    <row r="8" spans="1:15" ht="12.75">
      <c r="A8" s="8" t="s">
        <v>71</v>
      </c>
      <c r="B8" s="8">
        <v>1129</v>
      </c>
      <c r="C8" s="9">
        <v>42938</v>
      </c>
      <c r="D8" s="8" t="str">
        <f>"0350120170800047600"</f>
        <v>0350120170800047600</v>
      </c>
      <c r="E8" s="12">
        <v>42769</v>
      </c>
      <c r="F8" s="9">
        <v>42938</v>
      </c>
      <c r="G8" s="10">
        <v>42807</v>
      </c>
      <c r="H8" s="8" t="s">
        <v>72</v>
      </c>
      <c r="I8" s="8">
        <v>307.07</v>
      </c>
      <c r="J8" s="8">
        <v>27.92</v>
      </c>
      <c r="K8" s="8">
        <v>279.15</v>
      </c>
      <c r="L8" s="8">
        <f t="shared" si="0"/>
        <v>131</v>
      </c>
      <c r="M8" s="11">
        <f t="shared" si="1"/>
        <v>36568.649999999994</v>
      </c>
      <c r="N8" s="1"/>
      <c r="O8" s="4"/>
    </row>
    <row r="9" spans="1:15" ht="12.75">
      <c r="A9" s="8" t="s">
        <v>71</v>
      </c>
      <c r="B9" s="8">
        <v>1129</v>
      </c>
      <c r="C9" s="9">
        <v>42938</v>
      </c>
      <c r="D9" s="8" t="str">
        <f>"0350120170800048200"</f>
        <v>0350120170800048200</v>
      </c>
      <c r="E9" s="9">
        <v>42769</v>
      </c>
      <c r="F9" s="9">
        <v>42938</v>
      </c>
      <c r="G9" s="10">
        <v>42807</v>
      </c>
      <c r="H9" s="8" t="s">
        <v>72</v>
      </c>
      <c r="I9" s="8">
        <v>189.41</v>
      </c>
      <c r="J9" s="8">
        <v>17.22</v>
      </c>
      <c r="K9" s="8">
        <v>172.19</v>
      </c>
      <c r="L9" s="8">
        <f t="shared" si="0"/>
        <v>131</v>
      </c>
      <c r="M9" s="11">
        <f t="shared" si="1"/>
        <v>22556.89</v>
      </c>
      <c r="N9" s="1"/>
      <c r="O9" s="4"/>
    </row>
    <row r="10" spans="1:15" ht="12.75">
      <c r="A10" s="8" t="s">
        <v>71</v>
      </c>
      <c r="B10" s="8">
        <v>1395</v>
      </c>
      <c r="C10" s="9">
        <v>42977</v>
      </c>
      <c r="D10" s="8" t="str">
        <f>"0350120170800265100"</f>
        <v>0350120170800265100</v>
      </c>
      <c r="E10" s="9">
        <v>42857</v>
      </c>
      <c r="F10" s="9">
        <v>42977</v>
      </c>
      <c r="G10" s="10">
        <v>42895</v>
      </c>
      <c r="H10" s="8" t="s">
        <v>72</v>
      </c>
      <c r="I10" s="11">
        <v>2681.1</v>
      </c>
      <c r="J10" s="8">
        <v>243.74</v>
      </c>
      <c r="K10" s="11">
        <v>2437.36</v>
      </c>
      <c r="L10" s="8">
        <f t="shared" si="0"/>
        <v>82</v>
      </c>
      <c r="M10" s="11">
        <f t="shared" si="1"/>
        <v>199863.52000000002</v>
      </c>
      <c r="N10" s="1"/>
      <c r="O10" s="4"/>
    </row>
    <row r="11" spans="1:15" ht="12.75">
      <c r="A11" s="8" t="s">
        <v>73</v>
      </c>
      <c r="B11" s="8">
        <v>1512</v>
      </c>
      <c r="C11" s="9">
        <v>43001</v>
      </c>
      <c r="D11" s="8" t="str">
        <f>"06967"</f>
        <v>06967</v>
      </c>
      <c r="E11" s="9">
        <v>42886</v>
      </c>
      <c r="F11" s="9">
        <v>43004</v>
      </c>
      <c r="G11" s="10">
        <v>42930</v>
      </c>
      <c r="H11" s="8" t="s">
        <v>72</v>
      </c>
      <c r="I11" s="8">
        <v>85.4</v>
      </c>
      <c r="J11" s="8">
        <v>15.4</v>
      </c>
      <c r="K11" s="8">
        <v>70</v>
      </c>
      <c r="L11" s="8">
        <f t="shared" si="0"/>
        <v>74</v>
      </c>
      <c r="M11" s="11">
        <f t="shared" si="1"/>
        <v>5180</v>
      </c>
      <c r="N11" s="1"/>
      <c r="O11" s="4"/>
    </row>
    <row r="12" spans="1:15" ht="12.75">
      <c r="A12" s="8" t="s">
        <v>76</v>
      </c>
      <c r="B12" s="8">
        <v>1390</v>
      </c>
      <c r="C12" s="9">
        <v>42977</v>
      </c>
      <c r="D12" s="8" t="str">
        <f>"41701926661"</f>
        <v>41701926661</v>
      </c>
      <c r="E12" s="9">
        <v>42893</v>
      </c>
      <c r="F12" s="9">
        <v>42977</v>
      </c>
      <c r="G12" s="10">
        <v>42913</v>
      </c>
      <c r="H12" s="8" t="s">
        <v>72</v>
      </c>
      <c r="I12" s="11">
        <v>9627.85</v>
      </c>
      <c r="J12" s="11">
        <v>1736.89</v>
      </c>
      <c r="K12" s="11">
        <v>7890.96</v>
      </c>
      <c r="L12" s="8">
        <f t="shared" si="0"/>
        <v>64</v>
      </c>
      <c r="M12" s="11">
        <f t="shared" si="1"/>
        <v>505021.44</v>
      </c>
      <c r="N12" s="1"/>
      <c r="O12" s="4"/>
    </row>
    <row r="13" spans="1:15" ht="12.75">
      <c r="A13" s="8" t="s">
        <v>76</v>
      </c>
      <c r="B13" s="8">
        <v>1389</v>
      </c>
      <c r="C13" s="9">
        <v>42977</v>
      </c>
      <c r="D13" s="8" t="str">
        <f>"41701982099"</f>
        <v>41701982099</v>
      </c>
      <c r="E13" s="9">
        <v>42902</v>
      </c>
      <c r="F13" s="9">
        <v>42977</v>
      </c>
      <c r="G13" s="10">
        <v>42922</v>
      </c>
      <c r="H13" s="8" t="s">
        <v>72</v>
      </c>
      <c r="I13" s="8">
        <v>14.47</v>
      </c>
      <c r="J13" s="8">
        <v>1.32</v>
      </c>
      <c r="K13" s="8">
        <v>13.15</v>
      </c>
      <c r="L13" s="8">
        <f t="shared" si="0"/>
        <v>55</v>
      </c>
      <c r="M13" s="11">
        <f t="shared" si="1"/>
        <v>723.25</v>
      </c>
      <c r="N13" s="1"/>
      <c r="O13" s="4"/>
    </row>
    <row r="14" spans="1:15" ht="12.75">
      <c r="A14" s="8" t="s">
        <v>76</v>
      </c>
      <c r="B14" s="8">
        <v>1392</v>
      </c>
      <c r="C14" s="9">
        <v>42977</v>
      </c>
      <c r="D14" s="8" t="str">
        <f>"41701982101"</f>
        <v>41701982101</v>
      </c>
      <c r="E14" s="9">
        <v>42902</v>
      </c>
      <c r="F14" s="9">
        <v>42977</v>
      </c>
      <c r="G14" s="10">
        <v>42922</v>
      </c>
      <c r="H14" s="8" t="s">
        <v>72</v>
      </c>
      <c r="I14" s="8">
        <v>179.85</v>
      </c>
      <c r="J14" s="8">
        <v>32.43</v>
      </c>
      <c r="K14" s="8">
        <v>147.42</v>
      </c>
      <c r="L14" s="8">
        <f t="shared" si="0"/>
        <v>55</v>
      </c>
      <c r="M14" s="11">
        <f t="shared" si="1"/>
        <v>8108.099999999999</v>
      </c>
      <c r="N14" s="1"/>
      <c r="O14" s="4"/>
    </row>
    <row r="15" spans="1:15" ht="12.75">
      <c r="A15" s="8" t="s">
        <v>76</v>
      </c>
      <c r="B15" s="8">
        <v>1393</v>
      </c>
      <c r="C15" s="9">
        <v>42977</v>
      </c>
      <c r="D15" s="8" t="str">
        <f>"41701982100"</f>
        <v>41701982100</v>
      </c>
      <c r="E15" s="9">
        <v>42902</v>
      </c>
      <c r="F15" s="9">
        <v>42977</v>
      </c>
      <c r="G15" s="10">
        <v>42922</v>
      </c>
      <c r="H15" s="8" t="s">
        <v>72</v>
      </c>
      <c r="I15" s="8">
        <v>10.26</v>
      </c>
      <c r="J15" s="8">
        <v>1.85</v>
      </c>
      <c r="K15" s="8">
        <v>8.41</v>
      </c>
      <c r="L15" s="8">
        <f t="shared" si="0"/>
        <v>55</v>
      </c>
      <c r="M15" s="11">
        <f t="shared" si="1"/>
        <v>462.55</v>
      </c>
      <c r="N15" s="1"/>
      <c r="O15" s="4"/>
    </row>
    <row r="16" spans="1:15" ht="12.75">
      <c r="A16" s="8" t="s">
        <v>78</v>
      </c>
      <c r="B16" s="8">
        <v>1304</v>
      </c>
      <c r="C16" s="9">
        <v>42955</v>
      </c>
      <c r="D16" s="8" t="s">
        <v>79</v>
      </c>
      <c r="E16" s="9">
        <v>42887</v>
      </c>
      <c r="F16" s="9">
        <v>42957</v>
      </c>
      <c r="G16" s="10">
        <v>42907</v>
      </c>
      <c r="H16" s="8" t="s">
        <v>72</v>
      </c>
      <c r="I16" s="11">
        <v>1648.77</v>
      </c>
      <c r="J16" s="8">
        <v>275.26</v>
      </c>
      <c r="K16" s="11">
        <v>1373.51</v>
      </c>
      <c r="L16" s="8">
        <f t="shared" si="0"/>
        <v>50</v>
      </c>
      <c r="M16" s="11">
        <f t="shared" si="1"/>
        <v>68675.5</v>
      </c>
      <c r="N16" s="1"/>
      <c r="O16" s="4"/>
    </row>
    <row r="17" spans="1:15" ht="12.75">
      <c r="A17" s="8" t="s">
        <v>74</v>
      </c>
      <c r="B17" s="8">
        <v>1565</v>
      </c>
      <c r="C17" s="9">
        <v>43004</v>
      </c>
      <c r="D17" s="8" t="s">
        <v>3</v>
      </c>
      <c r="E17" s="9">
        <v>42971</v>
      </c>
      <c r="F17" s="9">
        <v>43004</v>
      </c>
      <c r="G17" s="10">
        <v>42960</v>
      </c>
      <c r="H17" s="8" t="s">
        <v>72</v>
      </c>
      <c r="I17" s="8">
        <v>783.2</v>
      </c>
      <c r="J17" s="8">
        <v>141.23</v>
      </c>
      <c r="K17" s="8">
        <v>641.97</v>
      </c>
      <c r="L17" s="8">
        <f t="shared" si="0"/>
        <v>44</v>
      </c>
      <c r="M17" s="11">
        <f t="shared" si="1"/>
        <v>28246.68</v>
      </c>
      <c r="N17" s="1"/>
      <c r="O17" s="4"/>
    </row>
    <row r="18" spans="1:15" ht="12.75">
      <c r="A18" s="8" t="s">
        <v>83</v>
      </c>
      <c r="B18" s="8">
        <v>1317</v>
      </c>
      <c r="C18" s="9">
        <v>42956</v>
      </c>
      <c r="D18" s="8" t="s">
        <v>84</v>
      </c>
      <c r="E18" s="9">
        <v>42886</v>
      </c>
      <c r="F18" s="9">
        <v>42957</v>
      </c>
      <c r="G18" s="10">
        <v>42916</v>
      </c>
      <c r="H18" s="8" t="s">
        <v>72</v>
      </c>
      <c r="I18" s="8">
        <v>475.8</v>
      </c>
      <c r="J18" s="8">
        <v>85.8</v>
      </c>
      <c r="K18" s="8">
        <v>390</v>
      </c>
      <c r="L18" s="8">
        <f t="shared" si="0"/>
        <v>41</v>
      </c>
      <c r="M18" s="11">
        <f t="shared" si="1"/>
        <v>15990</v>
      </c>
      <c r="N18" s="1"/>
      <c r="O18" s="4"/>
    </row>
    <row r="19" spans="1:15" ht="12.75">
      <c r="A19" s="8" t="s">
        <v>0</v>
      </c>
      <c r="B19" s="8">
        <v>1272</v>
      </c>
      <c r="C19" s="9">
        <v>42950</v>
      </c>
      <c r="D19" s="8" t="str">
        <f>"67"</f>
        <v>67</v>
      </c>
      <c r="E19" s="9">
        <v>42880</v>
      </c>
      <c r="F19" s="9">
        <v>42952</v>
      </c>
      <c r="G19" s="10">
        <v>42915</v>
      </c>
      <c r="H19" s="8" t="s">
        <v>70</v>
      </c>
      <c r="I19" s="11">
        <v>9015.8</v>
      </c>
      <c r="J19" s="11">
        <v>1625.8</v>
      </c>
      <c r="K19" s="11">
        <v>7390</v>
      </c>
      <c r="L19" s="8">
        <f t="shared" si="0"/>
        <v>37</v>
      </c>
      <c r="M19" s="11">
        <f t="shared" si="1"/>
        <v>273430</v>
      </c>
      <c r="N19" s="1"/>
      <c r="O19" s="4"/>
    </row>
    <row r="20" spans="1:15" ht="12.75">
      <c r="A20" s="8" t="s">
        <v>78</v>
      </c>
      <c r="B20" s="8">
        <v>1287</v>
      </c>
      <c r="C20" s="9">
        <v>42950</v>
      </c>
      <c r="D20" s="8" t="s">
        <v>82</v>
      </c>
      <c r="E20" s="9">
        <v>42887</v>
      </c>
      <c r="F20" s="9">
        <v>42952</v>
      </c>
      <c r="G20" s="10">
        <v>42922</v>
      </c>
      <c r="H20" s="8" t="s">
        <v>72</v>
      </c>
      <c r="I20" s="8">
        <v>190.09</v>
      </c>
      <c r="J20" s="8">
        <v>34.28</v>
      </c>
      <c r="K20" s="8">
        <v>155.81</v>
      </c>
      <c r="L20" s="8">
        <f t="shared" si="0"/>
        <v>30</v>
      </c>
      <c r="M20" s="11">
        <f t="shared" si="1"/>
        <v>4674.3</v>
      </c>
      <c r="N20" s="1"/>
      <c r="O20" s="4"/>
    </row>
    <row r="21" spans="1:15" ht="12.75">
      <c r="A21" s="8" t="s">
        <v>4</v>
      </c>
      <c r="B21" s="8">
        <v>1333</v>
      </c>
      <c r="C21" s="9">
        <v>42956</v>
      </c>
      <c r="D21" s="8" t="str">
        <f>"8017109039"</f>
        <v>8017109039</v>
      </c>
      <c r="E21" s="9">
        <v>42894</v>
      </c>
      <c r="F21" s="9">
        <v>42957</v>
      </c>
      <c r="G21" s="10">
        <v>42930</v>
      </c>
      <c r="H21" s="8" t="s">
        <v>70</v>
      </c>
      <c r="I21" s="8">
        <v>12.56</v>
      </c>
      <c r="J21" s="8">
        <v>12.56</v>
      </c>
      <c r="K21" s="8">
        <v>0</v>
      </c>
      <c r="L21" s="8">
        <f t="shared" si="0"/>
        <v>27</v>
      </c>
      <c r="M21" s="11">
        <f t="shared" si="1"/>
        <v>0</v>
      </c>
      <c r="N21" s="1"/>
      <c r="O21" s="4"/>
    </row>
    <row r="22" spans="1:15" ht="12.75">
      <c r="A22" s="8" t="s">
        <v>2</v>
      </c>
      <c r="B22" s="8">
        <v>1516</v>
      </c>
      <c r="C22" s="9">
        <v>43001</v>
      </c>
      <c r="D22" s="8" t="str">
        <f>"17086"</f>
        <v>17086</v>
      </c>
      <c r="E22" s="9">
        <v>42947</v>
      </c>
      <c r="F22" s="9">
        <v>43004</v>
      </c>
      <c r="G22" s="10">
        <v>42977</v>
      </c>
      <c r="H22" s="8" t="s">
        <v>72</v>
      </c>
      <c r="I22" s="11">
        <v>1120.01</v>
      </c>
      <c r="J22" s="8">
        <v>201.97</v>
      </c>
      <c r="K22" s="8">
        <v>918.04</v>
      </c>
      <c r="L22" s="8">
        <f t="shared" si="0"/>
        <v>27</v>
      </c>
      <c r="M22" s="11">
        <f t="shared" si="1"/>
        <v>24787.079999999998</v>
      </c>
      <c r="N22" s="1"/>
      <c r="O22" s="4"/>
    </row>
    <row r="23" spans="1:15" ht="12.75">
      <c r="A23" s="8" t="s">
        <v>4</v>
      </c>
      <c r="B23" s="8">
        <v>1260</v>
      </c>
      <c r="C23" s="9">
        <v>42950</v>
      </c>
      <c r="D23" s="8" t="str">
        <f>"8017110515"</f>
        <v>8017110515</v>
      </c>
      <c r="E23" s="9">
        <v>42895</v>
      </c>
      <c r="F23" s="9">
        <v>42952</v>
      </c>
      <c r="G23" s="10">
        <v>42925</v>
      </c>
      <c r="H23" s="8" t="s">
        <v>70</v>
      </c>
      <c r="I23" s="8">
        <v>31.74</v>
      </c>
      <c r="J23" s="8">
        <v>31.74</v>
      </c>
      <c r="K23" s="8">
        <v>0</v>
      </c>
      <c r="L23" s="8">
        <f t="shared" si="0"/>
        <v>27</v>
      </c>
      <c r="M23" s="11">
        <f t="shared" si="1"/>
        <v>0</v>
      </c>
      <c r="N23" s="1"/>
      <c r="O23" s="4"/>
    </row>
    <row r="24" spans="1:15" ht="12.75">
      <c r="A24" s="8" t="s">
        <v>1</v>
      </c>
      <c r="B24" s="8">
        <v>1547</v>
      </c>
      <c r="C24" s="9">
        <v>43003</v>
      </c>
      <c r="D24" s="8" t="str">
        <f>"2"</f>
        <v>2</v>
      </c>
      <c r="E24" s="9">
        <v>42940</v>
      </c>
      <c r="F24" s="9">
        <v>43004</v>
      </c>
      <c r="G24" s="10">
        <v>42978</v>
      </c>
      <c r="H24" s="8" t="s">
        <v>70</v>
      </c>
      <c r="I24" s="11">
        <v>3045.12</v>
      </c>
      <c r="J24" s="8">
        <v>549.12</v>
      </c>
      <c r="K24" s="11">
        <v>2496</v>
      </c>
      <c r="L24" s="8">
        <f t="shared" si="0"/>
        <v>26</v>
      </c>
      <c r="M24" s="11">
        <f t="shared" si="1"/>
        <v>64896</v>
      </c>
      <c r="N24" s="1"/>
      <c r="O24" s="4"/>
    </row>
    <row r="25" spans="1:15" ht="12.75">
      <c r="A25" s="8" t="s">
        <v>9</v>
      </c>
      <c r="B25" s="8">
        <v>1556</v>
      </c>
      <c r="C25" s="9">
        <v>43003</v>
      </c>
      <c r="D25" s="8" t="s">
        <v>10</v>
      </c>
      <c r="E25" s="9">
        <v>42947</v>
      </c>
      <c r="F25" s="9">
        <v>43004</v>
      </c>
      <c r="G25" s="10">
        <v>42978</v>
      </c>
      <c r="H25" s="8" t="s">
        <v>72</v>
      </c>
      <c r="I25" s="8">
        <v>794.22</v>
      </c>
      <c r="J25" s="8">
        <v>143.22</v>
      </c>
      <c r="K25" s="8">
        <v>651</v>
      </c>
      <c r="L25" s="8">
        <f t="shared" si="0"/>
        <v>26</v>
      </c>
      <c r="M25" s="11">
        <f t="shared" si="1"/>
        <v>16926</v>
      </c>
      <c r="N25" s="1"/>
      <c r="O25" s="4"/>
    </row>
    <row r="26" spans="1:15" ht="12.75">
      <c r="A26" s="8" t="s">
        <v>11</v>
      </c>
      <c r="B26" s="8">
        <v>1550</v>
      </c>
      <c r="C26" s="9">
        <v>43003</v>
      </c>
      <c r="D26" s="8" t="s">
        <v>12</v>
      </c>
      <c r="E26" s="9">
        <v>42944</v>
      </c>
      <c r="F26" s="9">
        <v>43004</v>
      </c>
      <c r="G26" s="10">
        <v>42978</v>
      </c>
      <c r="H26" s="8" t="s">
        <v>72</v>
      </c>
      <c r="I26" s="8">
        <v>290</v>
      </c>
      <c r="J26" s="8">
        <v>52.3</v>
      </c>
      <c r="K26" s="8">
        <v>237.7</v>
      </c>
      <c r="L26" s="8">
        <f t="shared" si="0"/>
        <v>26</v>
      </c>
      <c r="M26" s="11">
        <f t="shared" si="1"/>
        <v>6180.2</v>
      </c>
      <c r="N26" s="1"/>
      <c r="O26" s="4"/>
    </row>
    <row r="27" spans="1:15" ht="12.75">
      <c r="A27" s="8" t="s">
        <v>5</v>
      </c>
      <c r="B27" s="8">
        <v>1517</v>
      </c>
      <c r="C27" s="9">
        <v>43001</v>
      </c>
      <c r="D27" s="8" t="s">
        <v>145</v>
      </c>
      <c r="E27" s="9">
        <v>42948</v>
      </c>
      <c r="F27" s="9">
        <v>43004</v>
      </c>
      <c r="G27" s="10">
        <v>42979</v>
      </c>
      <c r="H27" s="8" t="s">
        <v>72</v>
      </c>
      <c r="I27" s="11">
        <v>2926.38</v>
      </c>
      <c r="J27" s="8">
        <v>527.71</v>
      </c>
      <c r="K27" s="11">
        <v>2398.67</v>
      </c>
      <c r="L27" s="8">
        <f t="shared" si="0"/>
        <v>25</v>
      </c>
      <c r="M27" s="11">
        <f t="shared" si="1"/>
        <v>59966.75</v>
      </c>
      <c r="N27" s="1"/>
      <c r="O27" s="4"/>
    </row>
    <row r="28" spans="1:15" ht="12.75">
      <c r="A28" s="8" t="s">
        <v>5</v>
      </c>
      <c r="B28" s="8">
        <v>1266</v>
      </c>
      <c r="C28" s="9">
        <v>42950</v>
      </c>
      <c r="D28" s="8" t="s">
        <v>6</v>
      </c>
      <c r="E28" s="9">
        <v>42891</v>
      </c>
      <c r="F28" s="9">
        <v>42952</v>
      </c>
      <c r="G28" s="10">
        <v>42928</v>
      </c>
      <c r="H28" s="8" t="s">
        <v>72</v>
      </c>
      <c r="I28" s="11">
        <v>2926.38</v>
      </c>
      <c r="J28" s="8">
        <v>527.71</v>
      </c>
      <c r="K28" s="11">
        <v>2398.67</v>
      </c>
      <c r="L28" s="8">
        <f t="shared" si="0"/>
        <v>24</v>
      </c>
      <c r="M28" s="11">
        <f t="shared" si="1"/>
        <v>57568.08</v>
      </c>
      <c r="N28" s="1"/>
      <c r="O28" s="4"/>
    </row>
    <row r="29" spans="1:15" ht="12.75">
      <c r="A29" s="8" t="s">
        <v>146</v>
      </c>
      <c r="B29" s="8">
        <v>1535</v>
      </c>
      <c r="C29" s="9">
        <v>43001</v>
      </c>
      <c r="D29" s="8" t="str">
        <f>"229"</f>
        <v>229</v>
      </c>
      <c r="E29" s="9">
        <v>42950</v>
      </c>
      <c r="F29" s="9">
        <v>43004</v>
      </c>
      <c r="G29" s="10">
        <v>42981</v>
      </c>
      <c r="H29" s="8" t="s">
        <v>72</v>
      </c>
      <c r="I29" s="8">
        <v>157.58</v>
      </c>
      <c r="J29" s="8">
        <v>28.42</v>
      </c>
      <c r="K29" s="8">
        <v>129.16</v>
      </c>
      <c r="L29" s="8">
        <f t="shared" si="0"/>
        <v>23</v>
      </c>
      <c r="M29" s="11">
        <f t="shared" si="1"/>
        <v>2970.68</v>
      </c>
      <c r="N29" s="1"/>
      <c r="O29" s="4"/>
    </row>
    <row r="30" spans="1:15" ht="12.75">
      <c r="A30" s="8" t="s">
        <v>74</v>
      </c>
      <c r="B30" s="8">
        <v>1267</v>
      </c>
      <c r="C30" s="9">
        <v>42950</v>
      </c>
      <c r="D30" s="8" t="s">
        <v>75</v>
      </c>
      <c r="E30" s="9">
        <v>42886</v>
      </c>
      <c r="F30" s="9">
        <v>42952</v>
      </c>
      <c r="G30" s="10">
        <v>42930</v>
      </c>
      <c r="H30" s="8" t="s">
        <v>72</v>
      </c>
      <c r="I30" s="8">
        <v>783.22</v>
      </c>
      <c r="J30" s="8">
        <v>141.24</v>
      </c>
      <c r="K30" s="8">
        <v>641.98</v>
      </c>
      <c r="L30" s="8">
        <f t="shared" si="0"/>
        <v>22</v>
      </c>
      <c r="M30" s="11">
        <f t="shared" si="1"/>
        <v>14123.560000000001</v>
      </c>
      <c r="N30" s="1"/>
      <c r="O30" s="4"/>
    </row>
    <row r="31" spans="1:15" ht="12.75">
      <c r="A31" s="8" t="s">
        <v>73</v>
      </c>
      <c r="B31" s="8">
        <v>1126</v>
      </c>
      <c r="C31" s="9">
        <v>42938</v>
      </c>
      <c r="D31" s="8" t="str">
        <f>"06957"</f>
        <v>06957</v>
      </c>
      <c r="E31" s="9">
        <v>42886</v>
      </c>
      <c r="F31" s="9">
        <v>42938</v>
      </c>
      <c r="G31" s="10">
        <v>42916</v>
      </c>
      <c r="H31" s="8" t="s">
        <v>72</v>
      </c>
      <c r="I31" s="8">
        <v>60.32</v>
      </c>
      <c r="J31" s="8">
        <v>2.32</v>
      </c>
      <c r="K31" s="8">
        <v>58</v>
      </c>
      <c r="L31" s="8">
        <f t="shared" si="0"/>
        <v>22</v>
      </c>
      <c r="M31" s="11">
        <f t="shared" si="1"/>
        <v>1276</v>
      </c>
      <c r="N31" s="1"/>
      <c r="O31" s="4"/>
    </row>
    <row r="32" spans="1:15" ht="12.75">
      <c r="A32" s="8" t="s">
        <v>147</v>
      </c>
      <c r="B32" s="8">
        <v>1334</v>
      </c>
      <c r="C32" s="9">
        <v>42956</v>
      </c>
      <c r="D32" s="13">
        <v>20169797</v>
      </c>
      <c r="E32" s="9">
        <v>42728</v>
      </c>
      <c r="F32" s="9">
        <v>42957</v>
      </c>
      <c r="G32" s="10">
        <v>42935</v>
      </c>
      <c r="H32" s="8" t="s">
        <v>70</v>
      </c>
      <c r="I32" s="11">
        <v>1229.76</v>
      </c>
      <c r="J32" s="8">
        <v>221.76</v>
      </c>
      <c r="K32" s="11">
        <v>1008</v>
      </c>
      <c r="L32" s="8">
        <f t="shared" si="0"/>
        <v>22</v>
      </c>
      <c r="M32" s="11">
        <f t="shared" si="1"/>
        <v>22176</v>
      </c>
      <c r="N32" s="1"/>
      <c r="O32" s="4"/>
    </row>
    <row r="33" spans="1:15" ht="12.75">
      <c r="A33" s="8" t="s">
        <v>76</v>
      </c>
      <c r="B33" s="8">
        <v>1391</v>
      </c>
      <c r="C33" s="9">
        <v>42977</v>
      </c>
      <c r="D33" s="8" t="str">
        <f>"41702457385"</f>
        <v>41702457385</v>
      </c>
      <c r="E33" s="9">
        <v>42936</v>
      </c>
      <c r="F33" s="9">
        <v>42977</v>
      </c>
      <c r="G33" s="10">
        <v>42956</v>
      </c>
      <c r="H33" s="8" t="s">
        <v>72</v>
      </c>
      <c r="I33" s="8">
        <v>10.26</v>
      </c>
      <c r="J33" s="8">
        <v>1.85</v>
      </c>
      <c r="K33" s="8">
        <v>8.41</v>
      </c>
      <c r="L33" s="8">
        <f t="shared" si="0"/>
        <v>21</v>
      </c>
      <c r="M33" s="11">
        <f t="shared" si="1"/>
        <v>176.61</v>
      </c>
      <c r="N33" s="1"/>
      <c r="O33" s="4"/>
    </row>
    <row r="34" spans="1:15" ht="12.75">
      <c r="A34" s="8" t="s">
        <v>76</v>
      </c>
      <c r="B34" s="8">
        <v>1394</v>
      </c>
      <c r="C34" s="9">
        <v>42977</v>
      </c>
      <c r="D34" s="8" t="str">
        <f>"41702457384"</f>
        <v>41702457384</v>
      </c>
      <c r="E34" s="9">
        <v>42936</v>
      </c>
      <c r="F34" s="9">
        <v>42977</v>
      </c>
      <c r="G34" s="10">
        <v>42956</v>
      </c>
      <c r="H34" s="8" t="s">
        <v>72</v>
      </c>
      <c r="I34" s="8">
        <v>10.26</v>
      </c>
      <c r="J34" s="8">
        <v>1.85</v>
      </c>
      <c r="K34" s="8">
        <v>8.41</v>
      </c>
      <c r="L34" s="8">
        <f aca="true" t="shared" si="2" ref="L34:L65">+F34-G34</f>
        <v>21</v>
      </c>
      <c r="M34" s="11">
        <f aca="true" t="shared" si="3" ref="M34:M65">+K34*L34</f>
        <v>176.61</v>
      </c>
      <c r="N34" s="1"/>
      <c r="O34" s="4"/>
    </row>
    <row r="35" spans="1:15" ht="12.75">
      <c r="A35" s="8" t="s">
        <v>76</v>
      </c>
      <c r="B35" s="8">
        <v>1494</v>
      </c>
      <c r="C35" s="9">
        <v>42977</v>
      </c>
      <c r="D35" s="8" t="str">
        <f>"41702457386"</f>
        <v>41702457386</v>
      </c>
      <c r="E35" s="9">
        <v>42936</v>
      </c>
      <c r="F35" s="9">
        <v>42977</v>
      </c>
      <c r="G35" s="10">
        <v>42956</v>
      </c>
      <c r="H35" s="8" t="s">
        <v>72</v>
      </c>
      <c r="I35" s="8">
        <v>137.45</v>
      </c>
      <c r="J35" s="8">
        <v>24.79</v>
      </c>
      <c r="K35" s="8">
        <v>112.66</v>
      </c>
      <c r="L35" s="8">
        <f t="shared" si="2"/>
        <v>21</v>
      </c>
      <c r="M35" s="11">
        <f t="shared" si="3"/>
        <v>2365.86</v>
      </c>
      <c r="N35" s="1"/>
      <c r="O35" s="4"/>
    </row>
    <row r="36" spans="1:15" ht="12.75">
      <c r="A36" s="8" t="s">
        <v>2</v>
      </c>
      <c r="B36" s="8">
        <v>1264</v>
      </c>
      <c r="C36" s="9">
        <v>42950</v>
      </c>
      <c r="D36" s="8" t="str">
        <f>"17053"</f>
        <v>17053</v>
      </c>
      <c r="E36" s="9">
        <v>42886</v>
      </c>
      <c r="F36" s="9">
        <v>42952</v>
      </c>
      <c r="G36" s="10">
        <v>42932</v>
      </c>
      <c r="H36" s="8" t="s">
        <v>72</v>
      </c>
      <c r="I36" s="11">
        <v>1245.27</v>
      </c>
      <c r="J36" s="8">
        <v>224.56</v>
      </c>
      <c r="K36" s="11">
        <v>1020.71</v>
      </c>
      <c r="L36" s="8">
        <f t="shared" si="2"/>
        <v>20</v>
      </c>
      <c r="M36" s="11">
        <f t="shared" si="3"/>
        <v>20414.2</v>
      </c>
      <c r="N36" s="1"/>
      <c r="O36" s="4"/>
    </row>
    <row r="37" spans="1:15" ht="12.75">
      <c r="A37" s="8" t="s">
        <v>150</v>
      </c>
      <c r="B37" s="8">
        <v>1265</v>
      </c>
      <c r="C37" s="9">
        <v>42950</v>
      </c>
      <c r="D37" s="8" t="s">
        <v>151</v>
      </c>
      <c r="E37" s="9">
        <v>42891</v>
      </c>
      <c r="F37" s="9">
        <v>42952</v>
      </c>
      <c r="G37" s="10">
        <v>42932</v>
      </c>
      <c r="H37" s="8" t="s">
        <v>70</v>
      </c>
      <c r="I37" s="8">
        <v>409.13</v>
      </c>
      <c r="J37" s="8">
        <v>14.88</v>
      </c>
      <c r="K37" s="8">
        <v>394.25</v>
      </c>
      <c r="L37" s="8">
        <f t="shared" si="2"/>
        <v>20</v>
      </c>
      <c r="M37" s="11">
        <f t="shared" si="3"/>
        <v>7885</v>
      </c>
      <c r="N37" s="1"/>
      <c r="O37" s="4"/>
    </row>
    <row r="38" spans="1:15" ht="12.75">
      <c r="A38" s="8" t="s">
        <v>80</v>
      </c>
      <c r="B38" s="8">
        <v>1316</v>
      </c>
      <c r="C38" s="9">
        <v>42956</v>
      </c>
      <c r="D38" s="8" t="s">
        <v>152</v>
      </c>
      <c r="E38" s="9">
        <v>42907</v>
      </c>
      <c r="F38" s="9">
        <v>42957</v>
      </c>
      <c r="G38" s="10">
        <v>42937</v>
      </c>
      <c r="H38" s="8" t="s">
        <v>72</v>
      </c>
      <c r="I38" s="8">
        <v>197.64</v>
      </c>
      <c r="J38" s="8">
        <v>35.64</v>
      </c>
      <c r="K38" s="8">
        <v>162</v>
      </c>
      <c r="L38" s="8">
        <f t="shared" si="2"/>
        <v>20</v>
      </c>
      <c r="M38" s="11">
        <f t="shared" si="3"/>
        <v>3240</v>
      </c>
      <c r="N38" s="1"/>
      <c r="O38" s="4"/>
    </row>
    <row r="39" spans="1:15" ht="12.75">
      <c r="A39" s="8" t="s">
        <v>80</v>
      </c>
      <c r="B39" s="8">
        <v>1531</v>
      </c>
      <c r="C39" s="9">
        <v>43001</v>
      </c>
      <c r="D39" s="8" t="s">
        <v>81</v>
      </c>
      <c r="E39" s="9">
        <v>42947</v>
      </c>
      <c r="F39" s="9">
        <v>43004</v>
      </c>
      <c r="G39" s="10">
        <v>42985</v>
      </c>
      <c r="H39" s="8" t="s">
        <v>72</v>
      </c>
      <c r="I39" s="8">
        <v>126.82</v>
      </c>
      <c r="J39" s="8">
        <v>22.87</v>
      </c>
      <c r="K39" s="8">
        <v>103.95</v>
      </c>
      <c r="L39" s="8">
        <f t="shared" si="2"/>
        <v>19</v>
      </c>
      <c r="M39" s="11">
        <f t="shared" si="3"/>
        <v>1975.05</v>
      </c>
      <c r="N39" s="1"/>
      <c r="O39" s="4"/>
    </row>
    <row r="40" spans="1:15" ht="12.75">
      <c r="A40" s="8" t="s">
        <v>153</v>
      </c>
      <c r="B40" s="8">
        <v>1495</v>
      </c>
      <c r="C40" s="9">
        <v>42977</v>
      </c>
      <c r="D40" s="8" t="s">
        <v>154</v>
      </c>
      <c r="E40" s="9">
        <v>42928</v>
      </c>
      <c r="F40" s="9">
        <v>42977</v>
      </c>
      <c r="G40" s="10">
        <v>42958</v>
      </c>
      <c r="H40" s="8" t="s">
        <v>70</v>
      </c>
      <c r="I40" s="11">
        <v>1015.04</v>
      </c>
      <c r="J40" s="8">
        <v>183.04</v>
      </c>
      <c r="K40" s="8">
        <v>832</v>
      </c>
      <c r="L40" s="8">
        <f t="shared" si="2"/>
        <v>19</v>
      </c>
      <c r="M40" s="11">
        <f t="shared" si="3"/>
        <v>15808</v>
      </c>
      <c r="N40" s="1"/>
      <c r="O40" s="4"/>
    </row>
    <row r="41" spans="1:15" ht="12.75">
      <c r="A41" s="8" t="s">
        <v>155</v>
      </c>
      <c r="B41" s="8">
        <v>1339</v>
      </c>
      <c r="C41" s="9">
        <v>42956</v>
      </c>
      <c r="D41" s="8" t="s">
        <v>156</v>
      </c>
      <c r="E41" s="9">
        <v>42902</v>
      </c>
      <c r="F41" s="9">
        <v>42957</v>
      </c>
      <c r="G41" s="10">
        <v>42939</v>
      </c>
      <c r="H41" s="8" t="s">
        <v>72</v>
      </c>
      <c r="I41" s="8">
        <v>602</v>
      </c>
      <c r="J41" s="8">
        <v>0</v>
      </c>
      <c r="K41" s="8">
        <v>602</v>
      </c>
      <c r="L41" s="8">
        <f t="shared" si="2"/>
        <v>18</v>
      </c>
      <c r="M41" s="11">
        <f t="shared" si="3"/>
        <v>10836</v>
      </c>
      <c r="N41" s="1"/>
      <c r="O41" s="4"/>
    </row>
    <row r="42" spans="1:15" ht="12.75">
      <c r="A42" s="8" t="s">
        <v>78</v>
      </c>
      <c r="B42" s="8">
        <v>1300</v>
      </c>
      <c r="C42" s="9">
        <v>42955</v>
      </c>
      <c r="D42" s="8" t="s">
        <v>157</v>
      </c>
      <c r="E42" s="9">
        <v>42919</v>
      </c>
      <c r="F42" s="9">
        <v>42957</v>
      </c>
      <c r="G42" s="10">
        <v>42940</v>
      </c>
      <c r="H42" s="8" t="s">
        <v>72</v>
      </c>
      <c r="I42" s="11">
        <v>1914.77</v>
      </c>
      <c r="J42" s="8">
        <v>345.29</v>
      </c>
      <c r="K42" s="11">
        <v>1569.48</v>
      </c>
      <c r="L42" s="8">
        <f t="shared" si="2"/>
        <v>17</v>
      </c>
      <c r="M42" s="11">
        <f t="shared" si="3"/>
        <v>26681.16</v>
      </c>
      <c r="N42" s="1"/>
      <c r="O42" s="4"/>
    </row>
    <row r="43" spans="1:15" ht="12.75">
      <c r="A43" s="8" t="s">
        <v>78</v>
      </c>
      <c r="B43" s="8">
        <v>1305</v>
      </c>
      <c r="C43" s="9">
        <v>42955</v>
      </c>
      <c r="D43" s="8" t="s">
        <v>158</v>
      </c>
      <c r="E43" s="9">
        <v>42919</v>
      </c>
      <c r="F43" s="9">
        <v>42957</v>
      </c>
      <c r="G43" s="10">
        <v>42940</v>
      </c>
      <c r="H43" s="8" t="s">
        <v>72</v>
      </c>
      <c r="I43" s="8">
        <v>191.28</v>
      </c>
      <c r="J43" s="8">
        <v>34.49</v>
      </c>
      <c r="K43" s="8">
        <v>156.79</v>
      </c>
      <c r="L43" s="8">
        <f t="shared" si="2"/>
        <v>17</v>
      </c>
      <c r="M43" s="11">
        <f t="shared" si="3"/>
        <v>2665.43</v>
      </c>
      <c r="N43" s="1"/>
      <c r="O43" s="4"/>
    </row>
    <row r="44" spans="1:15" ht="12.75">
      <c r="A44" s="8" t="s">
        <v>78</v>
      </c>
      <c r="B44" s="8">
        <v>1301</v>
      </c>
      <c r="C44" s="9">
        <v>42955</v>
      </c>
      <c r="D44" s="8" t="s">
        <v>159</v>
      </c>
      <c r="E44" s="9">
        <v>42919</v>
      </c>
      <c r="F44" s="9">
        <v>42957</v>
      </c>
      <c r="G44" s="10">
        <v>42940</v>
      </c>
      <c r="H44" s="8" t="s">
        <v>72</v>
      </c>
      <c r="I44" s="8">
        <v>142.29</v>
      </c>
      <c r="J44" s="8">
        <v>25.66</v>
      </c>
      <c r="K44" s="8">
        <v>116.63</v>
      </c>
      <c r="L44" s="8">
        <f t="shared" si="2"/>
        <v>17</v>
      </c>
      <c r="M44" s="11">
        <f t="shared" si="3"/>
        <v>1982.71</v>
      </c>
      <c r="N44" s="1"/>
      <c r="O44" s="4"/>
    </row>
    <row r="45" spans="1:15" ht="12.75">
      <c r="A45" s="8" t="s">
        <v>78</v>
      </c>
      <c r="B45" s="8">
        <v>1306</v>
      </c>
      <c r="C45" s="9">
        <v>42955</v>
      </c>
      <c r="D45" s="8" t="s">
        <v>160</v>
      </c>
      <c r="E45" s="9">
        <v>42919</v>
      </c>
      <c r="F45" s="9">
        <v>42957</v>
      </c>
      <c r="G45" s="10">
        <v>42940</v>
      </c>
      <c r="H45" s="8" t="s">
        <v>72</v>
      </c>
      <c r="I45" s="8">
        <v>377.2</v>
      </c>
      <c r="J45" s="8">
        <v>68.02</v>
      </c>
      <c r="K45" s="8">
        <v>309.18</v>
      </c>
      <c r="L45" s="8">
        <f t="shared" si="2"/>
        <v>17</v>
      </c>
      <c r="M45" s="11">
        <f t="shared" si="3"/>
        <v>5256.06</v>
      </c>
      <c r="N45" s="1"/>
      <c r="O45" s="4"/>
    </row>
    <row r="46" spans="1:15" ht="12.75">
      <c r="A46" s="8" t="s">
        <v>78</v>
      </c>
      <c r="B46" s="8">
        <v>1302</v>
      </c>
      <c r="C46" s="9">
        <v>42955</v>
      </c>
      <c r="D46" s="8" t="s">
        <v>161</v>
      </c>
      <c r="E46" s="9">
        <v>42919</v>
      </c>
      <c r="F46" s="9">
        <v>42957</v>
      </c>
      <c r="G46" s="10">
        <v>42940</v>
      </c>
      <c r="H46" s="8" t="s">
        <v>72</v>
      </c>
      <c r="I46" s="8">
        <v>549.5</v>
      </c>
      <c r="J46" s="8">
        <v>99.09</v>
      </c>
      <c r="K46" s="8">
        <v>450.41</v>
      </c>
      <c r="L46" s="8">
        <f t="shared" si="2"/>
        <v>17</v>
      </c>
      <c r="M46" s="11">
        <f t="shared" si="3"/>
        <v>7656.97</v>
      </c>
      <c r="N46" s="1"/>
      <c r="O46" s="4"/>
    </row>
    <row r="47" spans="1:15" ht="12.75">
      <c r="A47" s="8" t="s">
        <v>78</v>
      </c>
      <c r="B47" s="8">
        <v>1310</v>
      </c>
      <c r="C47" s="9">
        <v>42956</v>
      </c>
      <c r="D47" s="8" t="s">
        <v>162</v>
      </c>
      <c r="E47" s="9">
        <v>42919</v>
      </c>
      <c r="F47" s="9">
        <v>42957</v>
      </c>
      <c r="G47" s="10">
        <v>42940</v>
      </c>
      <c r="H47" s="8" t="s">
        <v>72</v>
      </c>
      <c r="I47" s="8">
        <v>243.68</v>
      </c>
      <c r="J47" s="8">
        <v>43.94</v>
      </c>
      <c r="K47" s="8">
        <v>199.74</v>
      </c>
      <c r="L47" s="8">
        <f t="shared" si="2"/>
        <v>17</v>
      </c>
      <c r="M47" s="11">
        <f t="shared" si="3"/>
        <v>3395.58</v>
      </c>
      <c r="N47" s="1"/>
      <c r="O47" s="4"/>
    </row>
    <row r="48" spans="1:15" ht="12.75">
      <c r="A48" s="8" t="s">
        <v>78</v>
      </c>
      <c r="B48" s="8">
        <v>1303</v>
      </c>
      <c r="C48" s="9">
        <v>42955</v>
      </c>
      <c r="D48" s="8" t="s">
        <v>163</v>
      </c>
      <c r="E48" s="9">
        <v>42919</v>
      </c>
      <c r="F48" s="9">
        <v>42957</v>
      </c>
      <c r="G48" s="10">
        <v>42940</v>
      </c>
      <c r="H48" s="8" t="s">
        <v>72</v>
      </c>
      <c r="I48" s="8">
        <v>175.78</v>
      </c>
      <c r="J48" s="8">
        <v>31.7</v>
      </c>
      <c r="K48" s="8">
        <v>144.08</v>
      </c>
      <c r="L48" s="8">
        <f t="shared" si="2"/>
        <v>17</v>
      </c>
      <c r="M48" s="11">
        <f t="shared" si="3"/>
        <v>2449.36</v>
      </c>
      <c r="N48" s="1"/>
      <c r="O48" s="4"/>
    </row>
    <row r="49" spans="1:15" ht="12.75">
      <c r="A49" s="8" t="s">
        <v>80</v>
      </c>
      <c r="B49" s="8">
        <v>1543</v>
      </c>
      <c r="C49" s="9">
        <v>43001</v>
      </c>
      <c r="D49" s="8" t="s">
        <v>164</v>
      </c>
      <c r="E49" s="9">
        <v>42978</v>
      </c>
      <c r="F49" s="9">
        <v>43004</v>
      </c>
      <c r="G49" s="10">
        <v>42988</v>
      </c>
      <c r="H49" s="8" t="s">
        <v>72</v>
      </c>
      <c r="I49" s="8">
        <v>132.53</v>
      </c>
      <c r="J49" s="8">
        <v>23.9</v>
      </c>
      <c r="K49" s="8">
        <v>108.63</v>
      </c>
      <c r="L49" s="8">
        <f t="shared" si="2"/>
        <v>16</v>
      </c>
      <c r="M49" s="11">
        <f t="shared" si="3"/>
        <v>1738.08</v>
      </c>
      <c r="N49" s="1"/>
      <c r="O49" s="4"/>
    </row>
    <row r="50" spans="1:15" ht="12.75">
      <c r="A50" s="8" t="s">
        <v>165</v>
      </c>
      <c r="B50" s="8">
        <v>1363</v>
      </c>
      <c r="C50" s="9">
        <v>42976</v>
      </c>
      <c r="D50" s="8" t="str">
        <f>"0000010794"</f>
        <v>0000010794</v>
      </c>
      <c r="E50" s="9">
        <v>42900</v>
      </c>
      <c r="F50" s="9">
        <v>42976</v>
      </c>
      <c r="G50" s="10">
        <v>42960</v>
      </c>
      <c r="H50" s="8" t="s">
        <v>72</v>
      </c>
      <c r="I50" s="8">
        <v>66.44</v>
      </c>
      <c r="J50" s="8">
        <v>11.98</v>
      </c>
      <c r="K50" s="8">
        <v>54.46</v>
      </c>
      <c r="L50" s="8">
        <f t="shared" si="2"/>
        <v>16</v>
      </c>
      <c r="M50" s="11">
        <f t="shared" si="3"/>
        <v>871.36</v>
      </c>
      <c r="N50" s="1"/>
      <c r="O50" s="4"/>
    </row>
    <row r="51" spans="1:15" ht="12.75">
      <c r="A51" s="8" t="s">
        <v>165</v>
      </c>
      <c r="B51" s="8">
        <v>1364</v>
      </c>
      <c r="C51" s="9">
        <v>42976</v>
      </c>
      <c r="D51" s="8" t="str">
        <f>"0000010793"</f>
        <v>0000010793</v>
      </c>
      <c r="E51" s="9">
        <v>42900</v>
      </c>
      <c r="F51" s="9">
        <v>42976</v>
      </c>
      <c r="G51" s="10">
        <v>42960</v>
      </c>
      <c r="H51" s="8" t="s">
        <v>72</v>
      </c>
      <c r="I51" s="8">
        <v>60.87</v>
      </c>
      <c r="J51" s="8">
        <v>10.98</v>
      </c>
      <c r="K51" s="8">
        <v>49.89</v>
      </c>
      <c r="L51" s="8">
        <f t="shared" si="2"/>
        <v>16</v>
      </c>
      <c r="M51" s="11">
        <f t="shared" si="3"/>
        <v>798.24</v>
      </c>
      <c r="N51" s="1"/>
      <c r="O51" s="4"/>
    </row>
    <row r="52" spans="1:15" ht="12.75">
      <c r="A52" s="8" t="s">
        <v>76</v>
      </c>
      <c r="B52" s="8">
        <v>1529</v>
      </c>
      <c r="C52" s="9">
        <v>43001</v>
      </c>
      <c r="D52" s="8" t="str">
        <f>"41702909088"</f>
        <v>41702909088</v>
      </c>
      <c r="E52" s="9">
        <v>42970</v>
      </c>
      <c r="F52" s="9">
        <v>43004</v>
      </c>
      <c r="G52" s="10">
        <v>42990</v>
      </c>
      <c r="H52" s="8" t="s">
        <v>72</v>
      </c>
      <c r="I52" s="8">
        <v>10.26</v>
      </c>
      <c r="J52" s="8">
        <v>1.85</v>
      </c>
      <c r="K52" s="8">
        <v>8.41</v>
      </c>
      <c r="L52" s="8">
        <f t="shared" si="2"/>
        <v>14</v>
      </c>
      <c r="M52" s="11">
        <f t="shared" si="3"/>
        <v>117.74000000000001</v>
      </c>
      <c r="N52" s="1"/>
      <c r="O52" s="4"/>
    </row>
    <row r="53" spans="1:15" ht="12.75">
      <c r="A53" s="8" t="s">
        <v>76</v>
      </c>
      <c r="B53" s="8">
        <v>1528</v>
      </c>
      <c r="C53" s="9">
        <v>43001</v>
      </c>
      <c r="D53" s="8" t="str">
        <f>"41702909087"</f>
        <v>41702909087</v>
      </c>
      <c r="E53" s="9">
        <v>42970</v>
      </c>
      <c r="F53" s="9">
        <v>43004</v>
      </c>
      <c r="G53" s="10">
        <v>42990</v>
      </c>
      <c r="H53" s="8" t="s">
        <v>72</v>
      </c>
      <c r="I53" s="8">
        <v>10.26</v>
      </c>
      <c r="J53" s="8">
        <v>1.85</v>
      </c>
      <c r="K53" s="8">
        <v>8.41</v>
      </c>
      <c r="L53" s="8">
        <f t="shared" si="2"/>
        <v>14</v>
      </c>
      <c r="M53" s="11">
        <f t="shared" si="3"/>
        <v>117.74000000000001</v>
      </c>
      <c r="N53" s="1"/>
      <c r="O53" s="4"/>
    </row>
    <row r="54" spans="1:15" ht="12.75">
      <c r="A54" s="8" t="s">
        <v>76</v>
      </c>
      <c r="B54" s="8">
        <v>1530</v>
      </c>
      <c r="C54" s="9">
        <v>43001</v>
      </c>
      <c r="D54" s="8" t="str">
        <f>"41702909089"</f>
        <v>41702909089</v>
      </c>
      <c r="E54" s="9">
        <v>42970</v>
      </c>
      <c r="F54" s="9">
        <v>43004</v>
      </c>
      <c r="G54" s="10">
        <v>42990</v>
      </c>
      <c r="H54" s="8" t="s">
        <v>72</v>
      </c>
      <c r="I54" s="8">
        <v>64.72</v>
      </c>
      <c r="J54" s="8">
        <v>11.67</v>
      </c>
      <c r="K54" s="8">
        <v>53.05</v>
      </c>
      <c r="L54" s="8">
        <f t="shared" si="2"/>
        <v>14</v>
      </c>
      <c r="M54" s="11">
        <f t="shared" si="3"/>
        <v>742.6999999999999</v>
      </c>
      <c r="N54" s="1"/>
      <c r="O54" s="4"/>
    </row>
    <row r="55" spans="1:15" ht="12.75">
      <c r="A55" s="8" t="s">
        <v>166</v>
      </c>
      <c r="B55" s="8">
        <v>1270</v>
      </c>
      <c r="C55" s="9">
        <v>42950</v>
      </c>
      <c r="D55" s="8" t="s">
        <v>167</v>
      </c>
      <c r="E55" s="9">
        <v>42886</v>
      </c>
      <c r="F55" s="9">
        <v>42952</v>
      </c>
      <c r="G55" s="10">
        <v>42939</v>
      </c>
      <c r="H55" s="8" t="s">
        <v>70</v>
      </c>
      <c r="I55" s="11">
        <v>1145.58</v>
      </c>
      <c r="J55" s="8">
        <v>206.58</v>
      </c>
      <c r="K55" s="8">
        <v>939</v>
      </c>
      <c r="L55" s="8">
        <f t="shared" si="2"/>
        <v>13</v>
      </c>
      <c r="M55" s="11">
        <f t="shared" si="3"/>
        <v>12207</v>
      </c>
      <c r="N55" s="1"/>
      <c r="O55" s="4"/>
    </row>
    <row r="56" spans="1:15" ht="12.75">
      <c r="A56" s="8" t="s">
        <v>78</v>
      </c>
      <c r="B56" s="8">
        <v>1284</v>
      </c>
      <c r="C56" s="9">
        <v>42950</v>
      </c>
      <c r="D56" s="8" t="s">
        <v>168</v>
      </c>
      <c r="E56" s="9">
        <v>42919</v>
      </c>
      <c r="F56" s="9">
        <v>42952</v>
      </c>
      <c r="G56" s="10">
        <v>42940</v>
      </c>
      <c r="H56" s="8" t="s">
        <v>72</v>
      </c>
      <c r="I56" s="8">
        <v>177.18</v>
      </c>
      <c r="J56" s="8">
        <v>31.95</v>
      </c>
      <c r="K56" s="8">
        <v>145.23</v>
      </c>
      <c r="L56" s="8">
        <f t="shared" si="2"/>
        <v>12</v>
      </c>
      <c r="M56" s="11">
        <f t="shared" si="3"/>
        <v>1742.7599999999998</v>
      </c>
      <c r="N56" s="1"/>
      <c r="O56" s="4"/>
    </row>
    <row r="57" spans="1:15" ht="12.75">
      <c r="A57" s="8" t="s">
        <v>78</v>
      </c>
      <c r="B57" s="8">
        <v>1285</v>
      </c>
      <c r="C57" s="9">
        <v>42950</v>
      </c>
      <c r="D57" s="8" t="s">
        <v>169</v>
      </c>
      <c r="E57" s="9">
        <v>42919</v>
      </c>
      <c r="F57" s="9">
        <v>42952</v>
      </c>
      <c r="G57" s="10">
        <v>42940</v>
      </c>
      <c r="H57" s="8" t="s">
        <v>72</v>
      </c>
      <c r="I57" s="8">
        <v>421.71</v>
      </c>
      <c r="J57" s="8">
        <v>76.05</v>
      </c>
      <c r="K57" s="8">
        <v>345.66</v>
      </c>
      <c r="L57" s="8">
        <f t="shared" si="2"/>
        <v>12</v>
      </c>
      <c r="M57" s="11">
        <f t="shared" si="3"/>
        <v>4147.92</v>
      </c>
      <c r="N57" s="1"/>
      <c r="O57" s="4"/>
    </row>
    <row r="58" spans="1:15" ht="12.75">
      <c r="A58" s="8" t="s">
        <v>78</v>
      </c>
      <c r="B58" s="8">
        <v>1286</v>
      </c>
      <c r="C58" s="9">
        <v>42950</v>
      </c>
      <c r="D58" s="8" t="s">
        <v>170</v>
      </c>
      <c r="E58" s="9">
        <v>42919</v>
      </c>
      <c r="F58" s="9">
        <v>42952</v>
      </c>
      <c r="G58" s="10">
        <v>42940</v>
      </c>
      <c r="H58" s="8" t="s">
        <v>72</v>
      </c>
      <c r="I58" s="8">
        <v>366.6</v>
      </c>
      <c r="J58" s="8">
        <v>66.11</v>
      </c>
      <c r="K58" s="8">
        <v>300.49</v>
      </c>
      <c r="L58" s="8">
        <f t="shared" si="2"/>
        <v>12</v>
      </c>
      <c r="M58" s="11">
        <f t="shared" si="3"/>
        <v>3605.88</v>
      </c>
      <c r="N58" s="1"/>
      <c r="O58" s="4"/>
    </row>
    <row r="59" spans="1:15" ht="12.75">
      <c r="A59" s="8" t="s">
        <v>2</v>
      </c>
      <c r="B59" s="8">
        <v>1313</v>
      </c>
      <c r="C59" s="9">
        <v>42956</v>
      </c>
      <c r="D59" s="8" t="str">
        <f>"17070"</f>
        <v>17070</v>
      </c>
      <c r="E59" s="9">
        <v>42916</v>
      </c>
      <c r="F59" s="9">
        <v>42957</v>
      </c>
      <c r="G59" s="10">
        <v>42946</v>
      </c>
      <c r="H59" s="8" t="s">
        <v>72</v>
      </c>
      <c r="I59" s="11">
        <v>1141.77</v>
      </c>
      <c r="J59" s="8">
        <v>205.89</v>
      </c>
      <c r="K59" s="8">
        <v>935.88</v>
      </c>
      <c r="L59" s="8">
        <f t="shared" si="2"/>
        <v>11</v>
      </c>
      <c r="M59" s="11">
        <f t="shared" si="3"/>
        <v>10294.68</v>
      </c>
      <c r="N59" s="1"/>
      <c r="O59" s="4"/>
    </row>
    <row r="60" spans="1:15" ht="12.75">
      <c r="A60" s="8" t="s">
        <v>2</v>
      </c>
      <c r="B60" s="8">
        <v>1311</v>
      </c>
      <c r="C60" s="9">
        <v>42956</v>
      </c>
      <c r="D60" s="8" t="str">
        <f>"17054"</f>
        <v>17054</v>
      </c>
      <c r="E60" s="9">
        <v>42886</v>
      </c>
      <c r="F60" s="9">
        <v>42957</v>
      </c>
      <c r="G60" s="10">
        <v>42946</v>
      </c>
      <c r="H60" s="8" t="s">
        <v>72</v>
      </c>
      <c r="I60" s="11">
        <v>2736.78</v>
      </c>
      <c r="J60" s="8">
        <v>493.52</v>
      </c>
      <c r="K60" s="11">
        <v>2243.26</v>
      </c>
      <c r="L60" s="8">
        <f t="shared" si="2"/>
        <v>11</v>
      </c>
      <c r="M60" s="11">
        <f t="shared" si="3"/>
        <v>24675.86</v>
      </c>
      <c r="N60" s="1"/>
      <c r="O60" s="4"/>
    </row>
    <row r="61" spans="1:15" ht="12.75">
      <c r="A61" s="8" t="s">
        <v>171</v>
      </c>
      <c r="B61" s="8">
        <v>1336</v>
      </c>
      <c r="C61" s="9">
        <v>42956</v>
      </c>
      <c r="D61" s="8" t="str">
        <f>"0001120824"</f>
        <v>0001120824</v>
      </c>
      <c r="E61" s="9">
        <v>42916</v>
      </c>
      <c r="F61" s="9">
        <v>42957</v>
      </c>
      <c r="G61" s="10">
        <v>42946</v>
      </c>
      <c r="H61" s="8" t="s">
        <v>72</v>
      </c>
      <c r="I61" s="8">
        <v>251.6</v>
      </c>
      <c r="J61" s="8">
        <v>0</v>
      </c>
      <c r="K61" s="8">
        <v>251.6</v>
      </c>
      <c r="L61" s="8">
        <f t="shared" si="2"/>
        <v>11</v>
      </c>
      <c r="M61" s="11">
        <f t="shared" si="3"/>
        <v>2767.6</v>
      </c>
      <c r="N61" s="1"/>
      <c r="O61" s="4"/>
    </row>
    <row r="62" spans="1:15" ht="12.75">
      <c r="A62" s="8" t="s">
        <v>83</v>
      </c>
      <c r="B62" s="8">
        <v>1317</v>
      </c>
      <c r="C62" s="9">
        <v>42956</v>
      </c>
      <c r="D62" s="8" t="s">
        <v>172</v>
      </c>
      <c r="E62" s="9">
        <v>42916</v>
      </c>
      <c r="F62" s="9">
        <v>42957</v>
      </c>
      <c r="G62" s="10">
        <v>42946</v>
      </c>
      <c r="H62" s="8" t="s">
        <v>72</v>
      </c>
      <c r="I62" s="8">
        <v>73.2</v>
      </c>
      <c r="J62" s="8">
        <v>13.2</v>
      </c>
      <c r="K62" s="8">
        <v>60</v>
      </c>
      <c r="L62" s="8">
        <f t="shared" si="2"/>
        <v>11</v>
      </c>
      <c r="M62" s="11">
        <f t="shared" si="3"/>
        <v>660</v>
      </c>
      <c r="N62" s="1"/>
      <c r="O62" s="4"/>
    </row>
    <row r="63" spans="1:15" ht="12.75">
      <c r="A63" s="8" t="s">
        <v>7</v>
      </c>
      <c r="B63" s="8">
        <v>1689</v>
      </c>
      <c r="C63" s="9">
        <v>43008</v>
      </c>
      <c r="D63" s="8" t="s">
        <v>173</v>
      </c>
      <c r="E63" s="9">
        <v>42998</v>
      </c>
      <c r="F63" s="9">
        <v>43008</v>
      </c>
      <c r="G63" s="10">
        <v>42998</v>
      </c>
      <c r="H63" s="8" t="s">
        <v>72</v>
      </c>
      <c r="I63" s="11">
        <v>8484.66</v>
      </c>
      <c r="J63" s="11">
        <v>1530.02</v>
      </c>
      <c r="K63" s="11">
        <v>6954.64</v>
      </c>
      <c r="L63" s="8">
        <f t="shared" si="2"/>
        <v>10</v>
      </c>
      <c r="M63" s="11">
        <f t="shared" si="3"/>
        <v>69546.40000000001</v>
      </c>
      <c r="N63" s="1"/>
      <c r="O63" s="4"/>
    </row>
    <row r="64" spans="1:15" ht="12.75">
      <c r="A64" s="8" t="s">
        <v>174</v>
      </c>
      <c r="B64" s="8">
        <v>1123</v>
      </c>
      <c r="C64" s="9">
        <v>42938</v>
      </c>
      <c r="D64" s="8" t="str">
        <f>"17002691"</f>
        <v>17002691</v>
      </c>
      <c r="E64" s="9">
        <v>42881</v>
      </c>
      <c r="F64" s="9">
        <v>42938</v>
      </c>
      <c r="G64" s="10">
        <v>42928</v>
      </c>
      <c r="H64" s="8" t="s">
        <v>70</v>
      </c>
      <c r="I64" s="8">
        <v>183</v>
      </c>
      <c r="J64" s="8">
        <v>33</v>
      </c>
      <c r="K64" s="8">
        <v>150</v>
      </c>
      <c r="L64" s="8">
        <f t="shared" si="2"/>
        <v>10</v>
      </c>
      <c r="M64" s="11">
        <f t="shared" si="3"/>
        <v>1500</v>
      </c>
      <c r="N64" s="1"/>
      <c r="O64" s="4"/>
    </row>
    <row r="65" spans="1:15" ht="12.75">
      <c r="A65" s="8" t="s">
        <v>175</v>
      </c>
      <c r="B65" s="8">
        <v>1326</v>
      </c>
      <c r="C65" s="9">
        <v>42956</v>
      </c>
      <c r="D65" s="8" t="s">
        <v>176</v>
      </c>
      <c r="E65" s="9">
        <v>42913</v>
      </c>
      <c r="F65" s="9">
        <v>42957</v>
      </c>
      <c r="G65" s="10">
        <v>42947</v>
      </c>
      <c r="H65" s="8" t="s">
        <v>72</v>
      </c>
      <c r="I65" s="11">
        <v>2623</v>
      </c>
      <c r="J65" s="8">
        <v>473</v>
      </c>
      <c r="K65" s="11">
        <v>2150</v>
      </c>
      <c r="L65" s="8">
        <f t="shared" si="2"/>
        <v>10</v>
      </c>
      <c r="M65" s="11">
        <f t="shared" si="3"/>
        <v>21500</v>
      </c>
      <c r="N65" s="1"/>
      <c r="O65" s="4"/>
    </row>
    <row r="66" spans="1:15" ht="12.75">
      <c r="A66" s="8" t="s">
        <v>177</v>
      </c>
      <c r="B66" s="8">
        <v>1548</v>
      </c>
      <c r="C66" s="9">
        <v>43003</v>
      </c>
      <c r="D66" s="8" t="s">
        <v>178</v>
      </c>
      <c r="E66" s="9">
        <v>42964</v>
      </c>
      <c r="F66" s="9">
        <v>43004</v>
      </c>
      <c r="G66" s="10">
        <v>42994</v>
      </c>
      <c r="H66" s="8" t="s">
        <v>70</v>
      </c>
      <c r="I66" s="11">
        <v>1903.2</v>
      </c>
      <c r="J66" s="8">
        <v>343.2</v>
      </c>
      <c r="K66" s="11">
        <v>1560</v>
      </c>
      <c r="L66" s="8">
        <f aca="true" t="shared" si="4" ref="L66:L100">+F66-G66</f>
        <v>10</v>
      </c>
      <c r="M66" s="11">
        <f aca="true" t="shared" si="5" ref="M66:M85">+K66*L66</f>
        <v>15600</v>
      </c>
      <c r="N66" s="1"/>
      <c r="O66" s="4"/>
    </row>
    <row r="67" spans="1:15" ht="12.75">
      <c r="A67" s="8" t="s">
        <v>78</v>
      </c>
      <c r="B67" s="8">
        <v>1492</v>
      </c>
      <c r="C67" s="9">
        <v>42977</v>
      </c>
      <c r="D67" s="8" t="s">
        <v>179</v>
      </c>
      <c r="E67" s="9">
        <v>42948</v>
      </c>
      <c r="F67" s="9">
        <v>42977</v>
      </c>
      <c r="G67" s="10">
        <v>42968</v>
      </c>
      <c r="H67" s="8" t="s">
        <v>72</v>
      </c>
      <c r="I67" s="8">
        <v>397.7</v>
      </c>
      <c r="J67" s="8">
        <v>71.72</v>
      </c>
      <c r="K67" s="8">
        <v>325.98</v>
      </c>
      <c r="L67" s="8">
        <f t="shared" si="4"/>
        <v>9</v>
      </c>
      <c r="M67" s="11">
        <f t="shared" si="5"/>
        <v>2933.82</v>
      </c>
      <c r="N67" s="1"/>
      <c r="O67" s="4"/>
    </row>
    <row r="68" spans="1:15" ht="12.75">
      <c r="A68" s="8" t="s">
        <v>78</v>
      </c>
      <c r="B68" s="8">
        <v>1491</v>
      </c>
      <c r="C68" s="9">
        <v>42977</v>
      </c>
      <c r="D68" s="8" t="s">
        <v>180</v>
      </c>
      <c r="E68" s="9">
        <v>42948</v>
      </c>
      <c r="F68" s="9">
        <v>42977</v>
      </c>
      <c r="G68" s="10">
        <v>42968</v>
      </c>
      <c r="H68" s="8" t="s">
        <v>72</v>
      </c>
      <c r="I68" s="8">
        <v>493.62</v>
      </c>
      <c r="J68" s="8">
        <v>89.01</v>
      </c>
      <c r="K68" s="8">
        <v>404.61</v>
      </c>
      <c r="L68" s="8">
        <f t="shared" si="4"/>
        <v>9</v>
      </c>
      <c r="M68" s="11">
        <f t="shared" si="5"/>
        <v>3641.4900000000002</v>
      </c>
      <c r="N68" s="1"/>
      <c r="O68" s="4"/>
    </row>
    <row r="69" spans="1:15" ht="12.75">
      <c r="A69" s="8" t="s">
        <v>78</v>
      </c>
      <c r="B69" s="8">
        <v>1493</v>
      </c>
      <c r="C69" s="9">
        <v>42977</v>
      </c>
      <c r="D69" s="8" t="s">
        <v>181</v>
      </c>
      <c r="E69" s="9">
        <v>42948</v>
      </c>
      <c r="F69" s="9">
        <v>42977</v>
      </c>
      <c r="G69" s="10">
        <v>42968</v>
      </c>
      <c r="H69" s="8" t="s">
        <v>72</v>
      </c>
      <c r="I69" s="8">
        <v>279.47</v>
      </c>
      <c r="J69" s="8">
        <v>50.4</v>
      </c>
      <c r="K69" s="8">
        <v>229.07</v>
      </c>
      <c r="L69" s="8">
        <f t="shared" si="4"/>
        <v>9</v>
      </c>
      <c r="M69" s="11">
        <f t="shared" si="5"/>
        <v>2061.63</v>
      </c>
      <c r="N69" s="1"/>
      <c r="O69" s="4"/>
    </row>
    <row r="70" spans="1:15" ht="12.75">
      <c r="A70" s="8" t="s">
        <v>182</v>
      </c>
      <c r="B70" s="8">
        <v>1273</v>
      </c>
      <c r="C70" s="9">
        <v>42950</v>
      </c>
      <c r="D70" s="8" t="s">
        <v>183</v>
      </c>
      <c r="E70" s="9">
        <v>42914</v>
      </c>
      <c r="F70" s="9">
        <v>42952</v>
      </c>
      <c r="G70" s="10">
        <v>42944</v>
      </c>
      <c r="H70" s="8" t="s">
        <v>70</v>
      </c>
      <c r="I70" s="8">
        <v>669.78</v>
      </c>
      <c r="J70" s="8">
        <v>120.78</v>
      </c>
      <c r="K70" s="8">
        <v>549</v>
      </c>
      <c r="L70" s="8">
        <f t="shared" si="4"/>
        <v>8</v>
      </c>
      <c r="M70" s="11">
        <f t="shared" si="5"/>
        <v>4392</v>
      </c>
      <c r="N70" s="1"/>
      <c r="O70" s="4"/>
    </row>
    <row r="71" spans="1:15" ht="12.75">
      <c r="A71" s="8" t="s">
        <v>73</v>
      </c>
      <c r="B71" s="8">
        <v>1341</v>
      </c>
      <c r="C71" s="9">
        <v>42956</v>
      </c>
      <c r="D71" s="8" t="str">
        <f>"09000"</f>
        <v>09000</v>
      </c>
      <c r="E71" s="9">
        <v>42916</v>
      </c>
      <c r="F71" s="9">
        <v>42957</v>
      </c>
      <c r="G71" s="10">
        <v>42949</v>
      </c>
      <c r="H71" s="8" t="s">
        <v>72</v>
      </c>
      <c r="I71" s="8">
        <v>427</v>
      </c>
      <c r="J71" s="8">
        <v>77</v>
      </c>
      <c r="K71" s="8">
        <v>350</v>
      </c>
      <c r="L71" s="8">
        <f t="shared" si="4"/>
        <v>8</v>
      </c>
      <c r="M71" s="11">
        <f t="shared" si="5"/>
        <v>2800</v>
      </c>
      <c r="N71" s="1"/>
      <c r="O71" s="4"/>
    </row>
    <row r="72" spans="1:15" ht="12.75">
      <c r="A72" s="8" t="s">
        <v>171</v>
      </c>
      <c r="B72" s="8">
        <v>1290</v>
      </c>
      <c r="C72" s="9">
        <v>42950</v>
      </c>
      <c r="D72" s="8" t="str">
        <f>"0001119883"</f>
        <v>0001119883</v>
      </c>
      <c r="E72" s="9">
        <v>42916</v>
      </c>
      <c r="F72" s="9">
        <v>42952</v>
      </c>
      <c r="G72" s="10">
        <v>42946</v>
      </c>
      <c r="H72" s="8" t="s">
        <v>72</v>
      </c>
      <c r="I72" s="8">
        <v>194.7</v>
      </c>
      <c r="J72" s="8">
        <v>0</v>
      </c>
      <c r="K72" s="8">
        <v>194.7</v>
      </c>
      <c r="L72" s="8">
        <f t="shared" si="4"/>
        <v>6</v>
      </c>
      <c r="M72" s="11">
        <f t="shared" si="5"/>
        <v>1168.1999999999998</v>
      </c>
      <c r="N72" s="1"/>
      <c r="O72" s="4"/>
    </row>
    <row r="73" spans="1:15" ht="12.75">
      <c r="A73" s="8" t="s">
        <v>171</v>
      </c>
      <c r="B73" s="8">
        <v>1290</v>
      </c>
      <c r="C73" s="9">
        <v>42950</v>
      </c>
      <c r="D73" s="8" t="str">
        <f>"0001120247"</f>
        <v>0001120247</v>
      </c>
      <c r="E73" s="9">
        <v>42916</v>
      </c>
      <c r="F73" s="9">
        <v>42952</v>
      </c>
      <c r="G73" s="10">
        <v>42946</v>
      </c>
      <c r="H73" s="8" t="s">
        <v>72</v>
      </c>
      <c r="I73" s="8">
        <v>686.8</v>
      </c>
      <c r="J73" s="8">
        <v>0</v>
      </c>
      <c r="K73" s="8">
        <v>686.8</v>
      </c>
      <c r="L73" s="8">
        <f t="shared" si="4"/>
        <v>6</v>
      </c>
      <c r="M73" s="11">
        <f t="shared" si="5"/>
        <v>4120.799999999999</v>
      </c>
      <c r="N73" s="1"/>
      <c r="O73" s="4"/>
    </row>
    <row r="74" spans="1:15" ht="12.75">
      <c r="A74" s="8" t="s">
        <v>78</v>
      </c>
      <c r="B74" s="8">
        <v>1520</v>
      </c>
      <c r="C74" s="9">
        <v>43001</v>
      </c>
      <c r="D74" s="8" t="s">
        <v>184</v>
      </c>
      <c r="E74" s="9">
        <v>42979</v>
      </c>
      <c r="F74" s="9">
        <v>43004</v>
      </c>
      <c r="G74" s="10">
        <v>42999</v>
      </c>
      <c r="H74" s="8" t="s">
        <v>72</v>
      </c>
      <c r="I74" s="8">
        <v>594.27</v>
      </c>
      <c r="J74" s="8">
        <v>107.16</v>
      </c>
      <c r="K74" s="8">
        <v>487.11</v>
      </c>
      <c r="L74" s="8">
        <f t="shared" si="4"/>
        <v>5</v>
      </c>
      <c r="M74" s="11">
        <f t="shared" si="5"/>
        <v>2435.55</v>
      </c>
      <c r="N74" s="1"/>
      <c r="O74" s="4"/>
    </row>
    <row r="75" spans="1:15" ht="12.75">
      <c r="A75" s="8" t="s">
        <v>78</v>
      </c>
      <c r="B75" s="8">
        <v>1523</v>
      </c>
      <c r="C75" s="9">
        <v>43001</v>
      </c>
      <c r="D75" s="8" t="s">
        <v>185</v>
      </c>
      <c r="E75" s="9">
        <v>42979</v>
      </c>
      <c r="F75" s="9">
        <v>43004</v>
      </c>
      <c r="G75" s="10">
        <v>42999</v>
      </c>
      <c r="H75" s="8" t="s">
        <v>72</v>
      </c>
      <c r="I75" s="8">
        <v>208.11</v>
      </c>
      <c r="J75" s="8">
        <v>37.53</v>
      </c>
      <c r="K75" s="8">
        <v>170.58</v>
      </c>
      <c r="L75" s="8">
        <f t="shared" si="4"/>
        <v>5</v>
      </c>
      <c r="M75" s="11">
        <f t="shared" si="5"/>
        <v>852.9000000000001</v>
      </c>
      <c r="N75" s="1"/>
      <c r="O75" s="4"/>
    </row>
    <row r="76" spans="1:15" ht="12.75">
      <c r="A76" s="8" t="s">
        <v>78</v>
      </c>
      <c r="B76" s="8">
        <v>1522</v>
      </c>
      <c r="C76" s="9">
        <v>43001</v>
      </c>
      <c r="D76" s="8" t="s">
        <v>186</v>
      </c>
      <c r="E76" s="9">
        <v>42979</v>
      </c>
      <c r="F76" s="9">
        <v>43004</v>
      </c>
      <c r="G76" s="10">
        <v>42999</v>
      </c>
      <c r="H76" s="8" t="s">
        <v>72</v>
      </c>
      <c r="I76" s="8">
        <v>114.56</v>
      </c>
      <c r="J76" s="8">
        <v>20.66</v>
      </c>
      <c r="K76" s="8">
        <v>93.9</v>
      </c>
      <c r="L76" s="8">
        <f t="shared" si="4"/>
        <v>5</v>
      </c>
      <c r="M76" s="11">
        <f t="shared" si="5"/>
        <v>469.5</v>
      </c>
      <c r="N76" s="1"/>
      <c r="O76" s="4"/>
    </row>
    <row r="77" spans="1:15" ht="12.75">
      <c r="A77" s="8" t="s">
        <v>78</v>
      </c>
      <c r="B77" s="8">
        <v>1527</v>
      </c>
      <c r="C77" s="9">
        <v>43001</v>
      </c>
      <c r="D77" s="8" t="s">
        <v>187</v>
      </c>
      <c r="E77" s="9">
        <v>42979</v>
      </c>
      <c r="F77" s="9">
        <v>43004</v>
      </c>
      <c r="G77" s="10">
        <v>42999</v>
      </c>
      <c r="H77" s="8" t="s">
        <v>72</v>
      </c>
      <c r="I77" s="11">
        <v>3393.81</v>
      </c>
      <c r="J77" s="8">
        <v>612</v>
      </c>
      <c r="K77" s="11">
        <v>2781.81</v>
      </c>
      <c r="L77" s="8">
        <f t="shared" si="4"/>
        <v>5</v>
      </c>
      <c r="M77" s="11">
        <f t="shared" si="5"/>
        <v>13909.05</v>
      </c>
      <c r="N77" s="1"/>
      <c r="O77" s="4"/>
    </row>
    <row r="78" spans="1:15" ht="12.75">
      <c r="A78" s="8" t="s">
        <v>78</v>
      </c>
      <c r="B78" s="8">
        <v>1525</v>
      </c>
      <c r="C78" s="9">
        <v>43001</v>
      </c>
      <c r="D78" s="8" t="s">
        <v>188</v>
      </c>
      <c r="E78" s="9">
        <v>42979</v>
      </c>
      <c r="F78" s="9">
        <v>43004</v>
      </c>
      <c r="G78" s="10">
        <v>42999</v>
      </c>
      <c r="H78" s="8" t="s">
        <v>72</v>
      </c>
      <c r="I78" s="8">
        <v>372.88</v>
      </c>
      <c r="J78" s="8">
        <v>67.24</v>
      </c>
      <c r="K78" s="8">
        <v>305.64</v>
      </c>
      <c r="L78" s="8">
        <f t="shared" si="4"/>
        <v>5</v>
      </c>
      <c r="M78" s="11">
        <f t="shared" si="5"/>
        <v>1528.1999999999998</v>
      </c>
      <c r="N78" s="1"/>
      <c r="O78" s="4"/>
    </row>
    <row r="79" spans="1:15" ht="12.75">
      <c r="A79" s="8" t="s">
        <v>78</v>
      </c>
      <c r="B79" s="8">
        <v>1519</v>
      </c>
      <c r="C79" s="9">
        <v>43001</v>
      </c>
      <c r="D79" s="8" t="s">
        <v>189</v>
      </c>
      <c r="E79" s="9">
        <v>42979</v>
      </c>
      <c r="F79" s="9">
        <v>43004</v>
      </c>
      <c r="G79" s="10">
        <v>42999</v>
      </c>
      <c r="H79" s="8" t="s">
        <v>72</v>
      </c>
      <c r="I79" s="8">
        <v>123.68</v>
      </c>
      <c r="J79" s="8">
        <v>22.3</v>
      </c>
      <c r="K79" s="8">
        <v>101.38</v>
      </c>
      <c r="L79" s="8">
        <f t="shared" si="4"/>
        <v>5</v>
      </c>
      <c r="M79" s="11">
        <f t="shared" si="5"/>
        <v>506.9</v>
      </c>
      <c r="N79" s="1"/>
      <c r="O79" s="4"/>
    </row>
    <row r="80" spans="1:15" ht="12.75">
      <c r="A80" s="8" t="s">
        <v>78</v>
      </c>
      <c r="B80" s="8">
        <v>1518</v>
      </c>
      <c r="C80" s="9">
        <v>43001</v>
      </c>
      <c r="D80" s="8" t="s">
        <v>190</v>
      </c>
      <c r="E80" s="9">
        <v>42979</v>
      </c>
      <c r="F80" s="9">
        <v>43004</v>
      </c>
      <c r="G80" s="10">
        <v>42999</v>
      </c>
      <c r="H80" s="8" t="s">
        <v>72</v>
      </c>
      <c r="I80" s="8">
        <v>249.76</v>
      </c>
      <c r="J80" s="8">
        <v>45.04</v>
      </c>
      <c r="K80" s="8">
        <v>204.72</v>
      </c>
      <c r="L80" s="8">
        <f t="shared" si="4"/>
        <v>5</v>
      </c>
      <c r="M80" s="11">
        <f t="shared" si="5"/>
        <v>1023.6</v>
      </c>
      <c r="N80" s="1"/>
      <c r="O80" s="4"/>
    </row>
    <row r="81" spans="1:15" ht="12.75">
      <c r="A81" s="8" t="s">
        <v>78</v>
      </c>
      <c r="B81" s="8">
        <v>1524</v>
      </c>
      <c r="C81" s="9">
        <v>43001</v>
      </c>
      <c r="D81" s="8" t="s">
        <v>191</v>
      </c>
      <c r="E81" s="9">
        <v>42979</v>
      </c>
      <c r="F81" s="9">
        <v>43004</v>
      </c>
      <c r="G81" s="10">
        <v>42999</v>
      </c>
      <c r="H81" s="8" t="s">
        <v>72</v>
      </c>
      <c r="I81" s="8">
        <v>316.6</v>
      </c>
      <c r="J81" s="8">
        <v>57.09</v>
      </c>
      <c r="K81" s="8">
        <v>259.51</v>
      </c>
      <c r="L81" s="8">
        <f t="shared" si="4"/>
        <v>5</v>
      </c>
      <c r="M81" s="11">
        <f t="shared" si="5"/>
        <v>1297.55</v>
      </c>
      <c r="N81" s="1"/>
      <c r="O81" s="4"/>
    </row>
    <row r="82" spans="1:15" ht="12.75">
      <c r="A82" s="8" t="s">
        <v>78</v>
      </c>
      <c r="B82" s="8">
        <v>1526</v>
      </c>
      <c r="C82" s="9">
        <v>43001</v>
      </c>
      <c r="D82" s="8" t="s">
        <v>192</v>
      </c>
      <c r="E82" s="9">
        <v>42979</v>
      </c>
      <c r="F82" s="9">
        <v>43004</v>
      </c>
      <c r="G82" s="10">
        <v>42999</v>
      </c>
      <c r="H82" s="8" t="s">
        <v>72</v>
      </c>
      <c r="I82" s="8">
        <v>414.97</v>
      </c>
      <c r="J82" s="8">
        <v>74.83</v>
      </c>
      <c r="K82" s="8">
        <v>340.14</v>
      </c>
      <c r="L82" s="8">
        <f t="shared" si="4"/>
        <v>5</v>
      </c>
      <c r="M82" s="11">
        <f t="shared" si="5"/>
        <v>1700.6999999999998</v>
      </c>
      <c r="N82" s="1"/>
      <c r="O82" s="4"/>
    </row>
    <row r="83" spans="1:15" ht="12.75">
      <c r="A83" s="8" t="s">
        <v>78</v>
      </c>
      <c r="B83" s="8">
        <v>1521</v>
      </c>
      <c r="C83" s="9">
        <v>43001</v>
      </c>
      <c r="D83" s="8" t="s">
        <v>193</v>
      </c>
      <c r="E83" s="9">
        <v>42979</v>
      </c>
      <c r="F83" s="9">
        <v>43004</v>
      </c>
      <c r="G83" s="10">
        <v>42999</v>
      </c>
      <c r="H83" s="8" t="s">
        <v>72</v>
      </c>
      <c r="I83" s="8">
        <v>242.8</v>
      </c>
      <c r="J83" s="8">
        <v>43.78</v>
      </c>
      <c r="K83" s="8">
        <v>199.02</v>
      </c>
      <c r="L83" s="8">
        <f t="shared" si="4"/>
        <v>5</v>
      </c>
      <c r="M83" s="11">
        <f t="shared" si="5"/>
        <v>995.1</v>
      </c>
      <c r="N83" s="1"/>
      <c r="O83" s="4"/>
    </row>
    <row r="84" spans="1:15" ht="12.75">
      <c r="A84" s="8" t="s">
        <v>194</v>
      </c>
      <c r="B84" s="8">
        <v>1271</v>
      </c>
      <c r="C84" s="9">
        <v>42950</v>
      </c>
      <c r="D84" s="8" t="str">
        <f>"05000060"</f>
        <v>05000060</v>
      </c>
      <c r="E84" s="9">
        <v>42902</v>
      </c>
      <c r="F84" s="9">
        <v>42952</v>
      </c>
      <c r="G84" s="10">
        <v>42947</v>
      </c>
      <c r="H84" s="8" t="s">
        <v>72</v>
      </c>
      <c r="I84" s="8">
        <v>853.27</v>
      </c>
      <c r="J84" s="8">
        <v>153.87</v>
      </c>
      <c r="K84" s="8">
        <v>699.4</v>
      </c>
      <c r="L84" s="8">
        <f t="shared" si="4"/>
        <v>5</v>
      </c>
      <c r="M84" s="11">
        <f t="shared" si="5"/>
        <v>3497</v>
      </c>
      <c r="N84" s="1"/>
      <c r="O84" s="4"/>
    </row>
    <row r="85" spans="1:15" ht="12.75">
      <c r="A85" s="8" t="s">
        <v>195</v>
      </c>
      <c r="B85" s="8">
        <v>1365</v>
      </c>
      <c r="C85" s="9">
        <v>42976</v>
      </c>
      <c r="D85" s="8" t="s">
        <v>196</v>
      </c>
      <c r="E85" s="9">
        <v>42901</v>
      </c>
      <c r="F85" s="9">
        <v>42976</v>
      </c>
      <c r="G85" s="10">
        <v>42972</v>
      </c>
      <c r="H85" s="8" t="s">
        <v>72</v>
      </c>
      <c r="I85" s="8">
        <v>1.88</v>
      </c>
      <c r="J85" s="8">
        <v>0.34</v>
      </c>
      <c r="K85" s="8">
        <v>1.54</v>
      </c>
      <c r="L85" s="8">
        <f t="shared" si="4"/>
        <v>4</v>
      </c>
      <c r="M85" s="11">
        <f t="shared" si="5"/>
        <v>6.16</v>
      </c>
      <c r="N85" s="1"/>
      <c r="O85" s="4"/>
    </row>
    <row r="86" spans="1:15" ht="12.75">
      <c r="A86" s="8" t="s">
        <v>197</v>
      </c>
      <c r="B86" s="8">
        <v>1536</v>
      </c>
      <c r="C86" s="9">
        <v>43001</v>
      </c>
      <c r="D86" s="8" t="s">
        <v>198</v>
      </c>
      <c r="E86" s="9">
        <v>42971</v>
      </c>
      <c r="F86" s="9">
        <v>43004</v>
      </c>
      <c r="G86" s="10">
        <v>43001</v>
      </c>
      <c r="H86" s="8" t="s">
        <v>70</v>
      </c>
      <c r="I86" s="8">
        <v>446.52</v>
      </c>
      <c r="J86" s="8">
        <v>80.52</v>
      </c>
      <c r="K86" s="8">
        <v>366</v>
      </c>
      <c r="L86" s="8">
        <f t="shared" si="4"/>
        <v>3</v>
      </c>
      <c r="M86" s="11">
        <f aca="true" t="shared" si="6" ref="M86:M141">+K86*L86</f>
        <v>1098</v>
      </c>
      <c r="N86" s="1"/>
      <c r="O86" s="4"/>
    </row>
    <row r="87" spans="1:15" ht="12.75">
      <c r="A87" s="8" t="s">
        <v>199</v>
      </c>
      <c r="B87" s="8">
        <v>1268</v>
      </c>
      <c r="C87" s="9">
        <v>42950</v>
      </c>
      <c r="D87" s="8" t="str">
        <f>"3"</f>
        <v>3</v>
      </c>
      <c r="E87" s="9">
        <v>42917</v>
      </c>
      <c r="F87" s="9">
        <v>42952</v>
      </c>
      <c r="G87" s="10">
        <v>42950</v>
      </c>
      <c r="H87" s="8" t="s">
        <v>70</v>
      </c>
      <c r="I87" s="11">
        <v>2350</v>
      </c>
      <c r="J87" s="8">
        <v>0</v>
      </c>
      <c r="K87" s="11">
        <v>2350</v>
      </c>
      <c r="L87" s="8">
        <f t="shared" si="4"/>
        <v>2</v>
      </c>
      <c r="M87" s="11">
        <f aca="true" t="shared" si="7" ref="M87:M109">+K87*L87</f>
        <v>4700</v>
      </c>
      <c r="N87" s="1"/>
      <c r="O87" s="4"/>
    </row>
    <row r="88" spans="1:15" ht="12.75">
      <c r="A88" s="8" t="s">
        <v>200</v>
      </c>
      <c r="B88" s="8">
        <v>1274</v>
      </c>
      <c r="C88" s="9">
        <v>42950</v>
      </c>
      <c r="D88" s="8" t="s">
        <v>201</v>
      </c>
      <c r="E88" s="9">
        <v>42906</v>
      </c>
      <c r="F88" s="9">
        <v>42952</v>
      </c>
      <c r="G88" s="10">
        <v>42951</v>
      </c>
      <c r="H88" s="8" t="s">
        <v>70</v>
      </c>
      <c r="I88" s="11">
        <v>15243.77</v>
      </c>
      <c r="J88" s="11">
        <v>2748.88</v>
      </c>
      <c r="K88" s="11">
        <v>12494.89</v>
      </c>
      <c r="L88" s="8">
        <f t="shared" si="4"/>
        <v>1</v>
      </c>
      <c r="M88" s="11">
        <f t="shared" si="7"/>
        <v>12494.89</v>
      </c>
      <c r="N88" s="1"/>
      <c r="O88" s="4"/>
    </row>
    <row r="89" spans="1:15" ht="12.75">
      <c r="A89" s="8" t="s">
        <v>5</v>
      </c>
      <c r="B89" s="8">
        <v>1275</v>
      </c>
      <c r="C89" s="9">
        <v>42950</v>
      </c>
      <c r="D89" s="8" t="s">
        <v>202</v>
      </c>
      <c r="E89" s="9">
        <v>42920</v>
      </c>
      <c r="F89" s="9">
        <v>42952</v>
      </c>
      <c r="G89" s="10">
        <v>42951</v>
      </c>
      <c r="H89" s="8" t="s">
        <v>72</v>
      </c>
      <c r="I89" s="11">
        <v>2926.38</v>
      </c>
      <c r="J89" s="8">
        <v>527.71</v>
      </c>
      <c r="K89" s="11">
        <v>2398.67</v>
      </c>
      <c r="L89" s="8">
        <f t="shared" si="4"/>
        <v>1</v>
      </c>
      <c r="M89" s="11">
        <f t="shared" si="7"/>
        <v>2398.67</v>
      </c>
      <c r="N89" s="1"/>
      <c r="O89" s="4"/>
    </row>
    <row r="90" spans="1:15" ht="12.75">
      <c r="A90" s="8" t="s">
        <v>203</v>
      </c>
      <c r="B90" s="8">
        <v>1141</v>
      </c>
      <c r="C90" s="9">
        <v>42938</v>
      </c>
      <c r="D90" s="8" t="s">
        <v>204</v>
      </c>
      <c r="E90" s="9">
        <v>42901</v>
      </c>
      <c r="F90" s="9">
        <v>42938</v>
      </c>
      <c r="G90" s="10">
        <v>42938</v>
      </c>
      <c r="H90" s="8" t="s">
        <v>70</v>
      </c>
      <c r="I90" s="8">
        <v>930</v>
      </c>
      <c r="J90" s="8">
        <v>167.71</v>
      </c>
      <c r="K90" s="8">
        <v>762.29</v>
      </c>
      <c r="L90" s="8">
        <f t="shared" si="4"/>
        <v>0</v>
      </c>
      <c r="M90" s="11">
        <f t="shared" si="7"/>
        <v>0</v>
      </c>
      <c r="N90" s="1"/>
      <c r="O90" s="4"/>
    </row>
    <row r="91" spans="1:15" ht="12.75">
      <c r="A91" s="8" t="s">
        <v>195</v>
      </c>
      <c r="B91" s="8">
        <v>1371</v>
      </c>
      <c r="C91" s="9">
        <v>42976</v>
      </c>
      <c r="D91" s="14" t="s">
        <v>205</v>
      </c>
      <c r="E91" s="9">
        <v>42893</v>
      </c>
      <c r="F91" s="9">
        <v>42976</v>
      </c>
      <c r="G91" s="10">
        <v>42977</v>
      </c>
      <c r="H91" s="8" t="s">
        <v>72</v>
      </c>
      <c r="I91" s="8">
        <v>224.48</v>
      </c>
      <c r="J91" s="8">
        <v>40.48</v>
      </c>
      <c r="K91" s="8">
        <v>184</v>
      </c>
      <c r="L91" s="8">
        <f t="shared" si="4"/>
        <v>-1</v>
      </c>
      <c r="M91" s="11">
        <f t="shared" si="7"/>
        <v>-184</v>
      </c>
      <c r="N91" s="1"/>
      <c r="O91" s="4"/>
    </row>
    <row r="92" spans="1:15" ht="12.75">
      <c r="A92" s="8" t="s">
        <v>195</v>
      </c>
      <c r="B92" s="8">
        <v>1368</v>
      </c>
      <c r="C92" s="9">
        <v>42976</v>
      </c>
      <c r="D92" s="14" t="s">
        <v>206</v>
      </c>
      <c r="E92" s="9">
        <v>42893</v>
      </c>
      <c r="F92" s="9">
        <v>42976</v>
      </c>
      <c r="G92" s="10">
        <v>42977</v>
      </c>
      <c r="H92" s="8" t="s">
        <v>72</v>
      </c>
      <c r="I92" s="8">
        <v>101.26</v>
      </c>
      <c r="J92" s="8">
        <v>18.26</v>
      </c>
      <c r="K92" s="8">
        <v>83</v>
      </c>
      <c r="L92" s="8">
        <f t="shared" si="4"/>
        <v>-1</v>
      </c>
      <c r="M92" s="11">
        <f t="shared" si="7"/>
        <v>-83</v>
      </c>
      <c r="N92" s="1"/>
      <c r="O92" s="4"/>
    </row>
    <row r="93" spans="1:15" ht="12.75">
      <c r="A93" s="8" t="s">
        <v>195</v>
      </c>
      <c r="B93" s="8">
        <v>1371</v>
      </c>
      <c r="C93" s="9">
        <v>42976</v>
      </c>
      <c r="D93" s="14" t="s">
        <v>207</v>
      </c>
      <c r="E93" s="9">
        <v>42893</v>
      </c>
      <c r="F93" s="9">
        <v>42976</v>
      </c>
      <c r="G93" s="10">
        <v>42977</v>
      </c>
      <c r="H93" s="8" t="s">
        <v>72</v>
      </c>
      <c r="I93" s="8">
        <v>112.59</v>
      </c>
      <c r="J93" s="8">
        <v>20.3</v>
      </c>
      <c r="K93" s="8">
        <v>92.29</v>
      </c>
      <c r="L93" s="8">
        <f t="shared" si="4"/>
        <v>-1</v>
      </c>
      <c r="M93" s="11">
        <f t="shared" si="7"/>
        <v>-92.29</v>
      </c>
      <c r="N93" s="1"/>
      <c r="O93" s="4"/>
    </row>
    <row r="94" spans="1:15" ht="12.75">
      <c r="A94" s="8" t="s">
        <v>195</v>
      </c>
      <c r="B94" s="8">
        <v>1371</v>
      </c>
      <c r="C94" s="9">
        <v>42976</v>
      </c>
      <c r="D94" s="14" t="s">
        <v>208</v>
      </c>
      <c r="E94" s="9">
        <v>42893</v>
      </c>
      <c r="F94" s="9">
        <v>42976</v>
      </c>
      <c r="G94" s="10">
        <v>42977</v>
      </c>
      <c r="H94" s="8" t="s">
        <v>72</v>
      </c>
      <c r="I94" s="8">
        <v>143.11</v>
      </c>
      <c r="J94" s="8">
        <v>25.81</v>
      </c>
      <c r="K94" s="8">
        <v>117.3</v>
      </c>
      <c r="L94" s="8">
        <f t="shared" si="4"/>
        <v>-1</v>
      </c>
      <c r="M94" s="11">
        <f t="shared" si="7"/>
        <v>-117.3</v>
      </c>
      <c r="N94" s="1"/>
      <c r="O94" s="4"/>
    </row>
    <row r="95" spans="1:15" ht="12.75">
      <c r="A95" s="8" t="s">
        <v>195</v>
      </c>
      <c r="B95" s="8">
        <v>1370</v>
      </c>
      <c r="C95" s="9">
        <v>42976</v>
      </c>
      <c r="D95" s="14" t="s">
        <v>209</v>
      </c>
      <c r="E95" s="9">
        <v>42893</v>
      </c>
      <c r="F95" s="9">
        <v>42976</v>
      </c>
      <c r="G95" s="10">
        <v>42977</v>
      </c>
      <c r="H95" s="8" t="s">
        <v>72</v>
      </c>
      <c r="I95" s="8">
        <v>308.66</v>
      </c>
      <c r="J95" s="8">
        <v>55.66</v>
      </c>
      <c r="K95" s="8">
        <v>253</v>
      </c>
      <c r="L95" s="8">
        <f t="shared" si="4"/>
        <v>-1</v>
      </c>
      <c r="M95" s="11">
        <f t="shared" si="7"/>
        <v>-253</v>
      </c>
      <c r="N95" s="1"/>
      <c r="O95" s="4"/>
    </row>
    <row r="96" spans="1:15" ht="12.75">
      <c r="A96" s="8" t="s">
        <v>195</v>
      </c>
      <c r="B96" s="8">
        <v>1371</v>
      </c>
      <c r="C96" s="9">
        <v>42976</v>
      </c>
      <c r="D96" s="14" t="s">
        <v>210</v>
      </c>
      <c r="E96" s="9">
        <v>42893</v>
      </c>
      <c r="F96" s="9">
        <v>42976</v>
      </c>
      <c r="G96" s="10">
        <v>42977</v>
      </c>
      <c r="H96" s="8" t="s">
        <v>72</v>
      </c>
      <c r="I96" s="8">
        <v>283.16</v>
      </c>
      <c r="J96" s="8">
        <v>51.06</v>
      </c>
      <c r="K96" s="8">
        <v>232.1</v>
      </c>
      <c r="L96" s="8">
        <f t="shared" si="4"/>
        <v>-1</v>
      </c>
      <c r="M96" s="11">
        <f t="shared" si="7"/>
        <v>-232.1</v>
      </c>
      <c r="N96" s="1"/>
      <c r="O96" s="4"/>
    </row>
    <row r="97" spans="1:15" ht="12.75">
      <c r="A97" s="8" t="s">
        <v>195</v>
      </c>
      <c r="B97" s="8">
        <v>1370</v>
      </c>
      <c r="C97" s="9">
        <v>42976</v>
      </c>
      <c r="D97" s="14" t="s">
        <v>211</v>
      </c>
      <c r="E97" s="9">
        <v>42893</v>
      </c>
      <c r="F97" s="9">
        <v>42976</v>
      </c>
      <c r="G97" s="10">
        <v>42977</v>
      </c>
      <c r="H97" s="8" t="s">
        <v>72</v>
      </c>
      <c r="I97" s="8">
        <v>157.01</v>
      </c>
      <c r="J97" s="8">
        <v>28.31</v>
      </c>
      <c r="K97" s="8">
        <v>128.7</v>
      </c>
      <c r="L97" s="8">
        <f t="shared" si="4"/>
        <v>-1</v>
      </c>
      <c r="M97" s="11">
        <f t="shared" si="7"/>
        <v>-128.7</v>
      </c>
      <c r="N97" s="1"/>
      <c r="O97" s="4"/>
    </row>
    <row r="98" spans="1:15" ht="12.75">
      <c r="A98" s="8" t="s">
        <v>195</v>
      </c>
      <c r="B98" s="8">
        <v>1371</v>
      </c>
      <c r="C98" s="9">
        <v>42976</v>
      </c>
      <c r="D98" s="14" t="s">
        <v>212</v>
      </c>
      <c r="E98" s="9">
        <v>42893</v>
      </c>
      <c r="F98" s="9">
        <v>42976</v>
      </c>
      <c r="G98" s="10">
        <v>42977</v>
      </c>
      <c r="H98" s="8" t="s">
        <v>72</v>
      </c>
      <c r="I98" s="8">
        <v>76.19</v>
      </c>
      <c r="J98" s="8">
        <v>13.74</v>
      </c>
      <c r="K98" s="8">
        <v>62.45</v>
      </c>
      <c r="L98" s="8">
        <f t="shared" si="4"/>
        <v>-1</v>
      </c>
      <c r="M98" s="11">
        <f t="shared" si="7"/>
        <v>-62.45</v>
      </c>
      <c r="N98" s="1"/>
      <c r="O98" s="4"/>
    </row>
    <row r="99" spans="1:15" ht="12.75">
      <c r="A99" s="8" t="s">
        <v>195</v>
      </c>
      <c r="B99" s="8">
        <v>1371</v>
      </c>
      <c r="C99" s="9">
        <v>42976</v>
      </c>
      <c r="D99" s="14" t="s">
        <v>213</v>
      </c>
      <c r="E99" s="9">
        <v>42893</v>
      </c>
      <c r="F99" s="9">
        <v>42976</v>
      </c>
      <c r="G99" s="10">
        <v>42977</v>
      </c>
      <c r="H99" s="8" t="s">
        <v>72</v>
      </c>
      <c r="I99" s="8">
        <v>81.24</v>
      </c>
      <c r="J99" s="8">
        <v>14.65</v>
      </c>
      <c r="K99" s="8">
        <v>66.59</v>
      </c>
      <c r="L99" s="8">
        <f t="shared" si="4"/>
        <v>-1</v>
      </c>
      <c r="M99" s="11">
        <f t="shared" si="7"/>
        <v>-66.59</v>
      </c>
      <c r="N99" s="1"/>
      <c r="O99" s="4"/>
    </row>
    <row r="100" spans="1:15" ht="12.75">
      <c r="A100" s="8" t="s">
        <v>195</v>
      </c>
      <c r="B100" s="8">
        <v>1371</v>
      </c>
      <c r="C100" s="9">
        <v>42976</v>
      </c>
      <c r="D100" s="14" t="s">
        <v>214</v>
      </c>
      <c r="E100" s="9">
        <v>42893</v>
      </c>
      <c r="F100" s="9">
        <v>42976</v>
      </c>
      <c r="G100" s="10">
        <v>42977</v>
      </c>
      <c r="H100" s="8" t="s">
        <v>72</v>
      </c>
      <c r="I100" s="8">
        <v>75.51</v>
      </c>
      <c r="J100" s="8">
        <v>13.62</v>
      </c>
      <c r="K100" s="8">
        <v>61.89</v>
      </c>
      <c r="L100" s="8">
        <f t="shared" si="4"/>
        <v>-1</v>
      </c>
      <c r="M100" s="11">
        <f t="shared" si="7"/>
        <v>-61.89</v>
      </c>
      <c r="N100" s="1"/>
      <c r="O100" s="4"/>
    </row>
    <row r="101" spans="1:15" ht="12.75">
      <c r="A101" s="8" t="s">
        <v>195</v>
      </c>
      <c r="B101" s="8">
        <v>1367</v>
      </c>
      <c r="C101" s="9">
        <v>42976</v>
      </c>
      <c r="D101" s="14" t="s">
        <v>13</v>
      </c>
      <c r="E101" s="9">
        <v>42893</v>
      </c>
      <c r="F101" s="9">
        <v>42976</v>
      </c>
      <c r="G101" s="10">
        <v>42977</v>
      </c>
      <c r="H101" s="8" t="s">
        <v>72</v>
      </c>
      <c r="I101" s="8">
        <v>154.5</v>
      </c>
      <c r="J101" s="8">
        <v>27.86</v>
      </c>
      <c r="K101" s="8">
        <v>126.64</v>
      </c>
      <c r="L101" s="8">
        <f aca="true" t="shared" si="8" ref="L101:L131">+F101-G101</f>
        <v>-1</v>
      </c>
      <c r="M101" s="11">
        <f t="shared" si="7"/>
        <v>-126.64</v>
      </c>
      <c r="N101" s="1"/>
      <c r="O101" s="4"/>
    </row>
    <row r="102" spans="1:15" ht="12.75">
      <c r="A102" s="8" t="s">
        <v>195</v>
      </c>
      <c r="B102" s="8">
        <v>1366</v>
      </c>
      <c r="C102" s="9">
        <v>42976</v>
      </c>
      <c r="D102" s="14" t="s">
        <v>14</v>
      </c>
      <c r="E102" s="9">
        <v>42893</v>
      </c>
      <c r="F102" s="9">
        <v>42976</v>
      </c>
      <c r="G102" s="10">
        <v>42977</v>
      </c>
      <c r="H102" s="8" t="s">
        <v>72</v>
      </c>
      <c r="I102" s="8">
        <v>80.29</v>
      </c>
      <c r="J102" s="8">
        <v>14.48</v>
      </c>
      <c r="K102" s="8">
        <v>65.81</v>
      </c>
      <c r="L102" s="8">
        <f t="shared" si="8"/>
        <v>-1</v>
      </c>
      <c r="M102" s="11">
        <f t="shared" si="7"/>
        <v>-65.81</v>
      </c>
      <c r="N102" s="1"/>
      <c r="O102" s="4"/>
    </row>
    <row r="103" spans="1:15" ht="12.75">
      <c r="A103" s="8" t="s">
        <v>195</v>
      </c>
      <c r="B103" s="8">
        <v>1369</v>
      </c>
      <c r="C103" s="9">
        <v>42976</v>
      </c>
      <c r="D103" s="14" t="s">
        <v>15</v>
      </c>
      <c r="E103" s="9">
        <v>42893</v>
      </c>
      <c r="F103" s="9">
        <v>42976</v>
      </c>
      <c r="G103" s="10">
        <v>42977</v>
      </c>
      <c r="H103" s="8" t="s">
        <v>72</v>
      </c>
      <c r="I103" s="8">
        <v>130.92</v>
      </c>
      <c r="J103" s="8">
        <v>23.61</v>
      </c>
      <c r="K103" s="8">
        <v>107.31</v>
      </c>
      <c r="L103" s="8">
        <f t="shared" si="8"/>
        <v>-1</v>
      </c>
      <c r="M103" s="11">
        <f t="shared" si="7"/>
        <v>-107.31</v>
      </c>
      <c r="N103" s="1"/>
      <c r="O103" s="4"/>
    </row>
    <row r="104" spans="1:15" ht="12.75">
      <c r="A104" s="8" t="s">
        <v>16</v>
      </c>
      <c r="B104" s="8">
        <v>1277</v>
      </c>
      <c r="C104" s="9">
        <v>42950</v>
      </c>
      <c r="D104" s="8" t="str">
        <f>"0031112418"</f>
        <v>0031112418</v>
      </c>
      <c r="E104" s="9">
        <v>42916</v>
      </c>
      <c r="F104" s="9">
        <v>42952</v>
      </c>
      <c r="G104" s="10">
        <v>42953</v>
      </c>
      <c r="H104" s="8" t="s">
        <v>70</v>
      </c>
      <c r="I104" s="8">
        <v>317.2</v>
      </c>
      <c r="J104" s="8">
        <v>57.2</v>
      </c>
      <c r="K104" s="8">
        <v>260</v>
      </c>
      <c r="L104" s="8">
        <f t="shared" si="8"/>
        <v>-1</v>
      </c>
      <c r="M104" s="11">
        <f t="shared" si="7"/>
        <v>-260</v>
      </c>
      <c r="N104" s="1"/>
      <c r="O104" s="4"/>
    </row>
    <row r="105" spans="1:15" ht="12.75">
      <c r="A105" s="8" t="s">
        <v>17</v>
      </c>
      <c r="B105" s="8">
        <v>1684</v>
      </c>
      <c r="C105" s="9">
        <v>43008</v>
      </c>
      <c r="D105" s="8" t="str">
        <f>"212"</f>
        <v>212</v>
      </c>
      <c r="E105" s="9">
        <v>42947</v>
      </c>
      <c r="F105" s="9">
        <v>43008</v>
      </c>
      <c r="G105" s="10">
        <v>43009</v>
      </c>
      <c r="H105" s="8" t="s">
        <v>72</v>
      </c>
      <c r="I105" s="11">
        <v>1098</v>
      </c>
      <c r="J105" s="8">
        <v>198</v>
      </c>
      <c r="K105" s="8">
        <v>900</v>
      </c>
      <c r="L105" s="8">
        <f t="shared" si="8"/>
        <v>-1</v>
      </c>
      <c r="M105" s="11">
        <f t="shared" si="7"/>
        <v>-900</v>
      </c>
      <c r="N105" s="1"/>
      <c r="O105" s="4"/>
    </row>
    <row r="106" spans="1:15" ht="12.75">
      <c r="A106" s="8" t="s">
        <v>2</v>
      </c>
      <c r="B106" s="8">
        <v>1515</v>
      </c>
      <c r="C106" s="9">
        <v>43001</v>
      </c>
      <c r="D106" s="8" t="str">
        <f>"17087"</f>
        <v>17087</v>
      </c>
      <c r="E106" s="9">
        <v>42947</v>
      </c>
      <c r="F106" s="9">
        <v>43004</v>
      </c>
      <c r="G106" s="10">
        <v>43007</v>
      </c>
      <c r="H106" s="8" t="s">
        <v>72</v>
      </c>
      <c r="I106" s="11">
        <v>2336.47</v>
      </c>
      <c r="J106" s="8">
        <v>421.33</v>
      </c>
      <c r="K106" s="11">
        <v>1915.14</v>
      </c>
      <c r="L106" s="8">
        <f t="shared" si="8"/>
        <v>-3</v>
      </c>
      <c r="M106" s="11">
        <f t="shared" si="7"/>
        <v>-5745.42</v>
      </c>
      <c r="N106" s="1"/>
      <c r="O106" s="4"/>
    </row>
    <row r="107" spans="1:15" ht="12.75">
      <c r="A107" s="8" t="s">
        <v>2</v>
      </c>
      <c r="B107" s="8">
        <v>1544</v>
      </c>
      <c r="C107" s="9">
        <v>43001</v>
      </c>
      <c r="D107" s="8" t="str">
        <f>"17097"</f>
        <v>17097</v>
      </c>
      <c r="E107" s="9">
        <v>42978</v>
      </c>
      <c r="F107" s="9">
        <v>43004</v>
      </c>
      <c r="G107" s="10">
        <v>43008</v>
      </c>
      <c r="H107" s="8" t="s">
        <v>72</v>
      </c>
      <c r="I107" s="11">
        <v>1156.71</v>
      </c>
      <c r="J107" s="8">
        <v>208.59</v>
      </c>
      <c r="K107" s="8">
        <v>948.12</v>
      </c>
      <c r="L107" s="8">
        <f t="shared" si="8"/>
        <v>-4</v>
      </c>
      <c r="M107" s="11">
        <f t="shared" si="7"/>
        <v>-3792.48</v>
      </c>
      <c r="N107" s="1"/>
      <c r="O107" s="4"/>
    </row>
    <row r="108" spans="1:15" ht="12.75">
      <c r="A108" s="8" t="s">
        <v>171</v>
      </c>
      <c r="B108" s="8">
        <v>1562</v>
      </c>
      <c r="C108" s="9">
        <v>43003</v>
      </c>
      <c r="D108" s="8" t="str">
        <f>"0001125008"</f>
        <v>0001125008</v>
      </c>
      <c r="E108" s="9">
        <v>42978</v>
      </c>
      <c r="F108" s="9">
        <v>43004</v>
      </c>
      <c r="G108" s="10">
        <v>43008</v>
      </c>
      <c r="H108" s="8" t="s">
        <v>72</v>
      </c>
      <c r="I108" s="8">
        <v>142.8</v>
      </c>
      <c r="J108" s="8">
        <v>0</v>
      </c>
      <c r="K108" s="8">
        <v>142.8</v>
      </c>
      <c r="L108" s="8">
        <f t="shared" si="8"/>
        <v>-4</v>
      </c>
      <c r="M108" s="11">
        <f t="shared" si="7"/>
        <v>-571.2</v>
      </c>
      <c r="N108" s="1"/>
      <c r="O108" s="4"/>
    </row>
    <row r="109" spans="1:15" ht="12.75">
      <c r="A109" s="8" t="s">
        <v>171</v>
      </c>
      <c r="B109" s="8">
        <v>1561</v>
      </c>
      <c r="C109" s="9">
        <v>43003</v>
      </c>
      <c r="D109" s="8" t="str">
        <f>"0001124647"</f>
        <v>0001124647</v>
      </c>
      <c r="E109" s="9">
        <v>42978</v>
      </c>
      <c r="F109" s="9">
        <v>43004</v>
      </c>
      <c r="G109" s="10">
        <v>43008</v>
      </c>
      <c r="H109" s="8" t="s">
        <v>72</v>
      </c>
      <c r="I109" s="8">
        <v>126.15</v>
      </c>
      <c r="J109" s="8">
        <v>0</v>
      </c>
      <c r="K109" s="8">
        <v>126.15</v>
      </c>
      <c r="L109" s="8">
        <f t="shared" si="8"/>
        <v>-4</v>
      </c>
      <c r="M109" s="11">
        <f t="shared" si="7"/>
        <v>-504.6</v>
      </c>
      <c r="N109" s="1"/>
      <c r="O109" s="4"/>
    </row>
    <row r="110" spans="1:15" ht="12.75">
      <c r="A110" s="8" t="s">
        <v>18</v>
      </c>
      <c r="B110" s="8">
        <v>1551</v>
      </c>
      <c r="C110" s="9">
        <v>43003</v>
      </c>
      <c r="D110" s="8" t="s">
        <v>19</v>
      </c>
      <c r="E110" s="9">
        <v>42978</v>
      </c>
      <c r="F110" s="9">
        <v>43004</v>
      </c>
      <c r="G110" s="10">
        <v>43008</v>
      </c>
      <c r="H110" s="8" t="s">
        <v>72</v>
      </c>
      <c r="I110" s="11">
        <v>1392.02</v>
      </c>
      <c r="J110" s="8">
        <v>251.02</v>
      </c>
      <c r="K110" s="11">
        <v>1141</v>
      </c>
      <c r="L110" s="8">
        <f t="shared" si="8"/>
        <v>-4</v>
      </c>
      <c r="M110" s="11">
        <f t="shared" si="6"/>
        <v>-4564</v>
      </c>
      <c r="N110" s="1"/>
      <c r="O110" s="4"/>
    </row>
    <row r="111" spans="1:15" ht="12.75">
      <c r="A111" s="8" t="s">
        <v>80</v>
      </c>
      <c r="B111" s="8">
        <v>1546</v>
      </c>
      <c r="C111" s="9">
        <v>43001</v>
      </c>
      <c r="D111" s="8" t="s">
        <v>20</v>
      </c>
      <c r="E111" s="9">
        <v>42978</v>
      </c>
      <c r="F111" s="9">
        <v>43004</v>
      </c>
      <c r="G111" s="10">
        <v>43008</v>
      </c>
      <c r="H111" s="8" t="s">
        <v>72</v>
      </c>
      <c r="I111" s="11">
        <v>1166.32</v>
      </c>
      <c r="J111" s="8">
        <v>210.32</v>
      </c>
      <c r="K111" s="8">
        <v>956</v>
      </c>
      <c r="L111" s="8">
        <f t="shared" si="8"/>
        <v>-4</v>
      </c>
      <c r="M111" s="11">
        <f>+K111*L111</f>
        <v>-3824</v>
      </c>
      <c r="N111" s="1"/>
      <c r="O111" s="4"/>
    </row>
    <row r="112" spans="1:15" ht="12.75">
      <c r="A112" s="8" t="s">
        <v>175</v>
      </c>
      <c r="B112" s="8">
        <v>1534</v>
      </c>
      <c r="C112" s="9">
        <v>43001</v>
      </c>
      <c r="D112" s="8" t="s">
        <v>21</v>
      </c>
      <c r="E112" s="9">
        <v>42976</v>
      </c>
      <c r="F112" s="9">
        <v>43004</v>
      </c>
      <c r="G112" s="10">
        <v>43008</v>
      </c>
      <c r="H112" s="8" t="s">
        <v>72</v>
      </c>
      <c r="I112" s="11">
        <v>1220</v>
      </c>
      <c r="J112" s="8">
        <v>220</v>
      </c>
      <c r="K112" s="11">
        <v>1000</v>
      </c>
      <c r="L112" s="8">
        <f t="shared" si="8"/>
        <v>-4</v>
      </c>
      <c r="M112" s="11">
        <f>+K112*L112</f>
        <v>-4000</v>
      </c>
      <c r="N112" s="1"/>
      <c r="O112" s="4"/>
    </row>
    <row r="113" spans="1:15" ht="12.75">
      <c r="A113" s="8" t="s">
        <v>175</v>
      </c>
      <c r="B113" s="8">
        <v>1533</v>
      </c>
      <c r="C113" s="9">
        <v>43001</v>
      </c>
      <c r="D113" s="8" t="s">
        <v>22</v>
      </c>
      <c r="E113" s="9">
        <v>42976</v>
      </c>
      <c r="F113" s="9">
        <v>43004</v>
      </c>
      <c r="G113" s="10">
        <v>43008</v>
      </c>
      <c r="H113" s="8" t="s">
        <v>72</v>
      </c>
      <c r="I113" s="8">
        <v>605.12</v>
      </c>
      <c r="J113" s="8">
        <v>109.12</v>
      </c>
      <c r="K113" s="8">
        <v>496</v>
      </c>
      <c r="L113" s="8">
        <f t="shared" si="8"/>
        <v>-4</v>
      </c>
      <c r="M113" s="11">
        <f>+K113*L113</f>
        <v>-1984</v>
      </c>
      <c r="N113" s="1"/>
      <c r="O113" s="4"/>
    </row>
    <row r="114" spans="1:15" ht="12.75">
      <c r="A114" s="8" t="s">
        <v>23</v>
      </c>
      <c r="B114" s="8">
        <v>1514</v>
      </c>
      <c r="C114" s="9">
        <v>43001</v>
      </c>
      <c r="D114" s="8" t="s">
        <v>24</v>
      </c>
      <c r="E114" s="9">
        <v>42950</v>
      </c>
      <c r="F114" s="9">
        <v>43004</v>
      </c>
      <c r="G114" s="10">
        <v>43008</v>
      </c>
      <c r="H114" s="8" t="s">
        <v>72</v>
      </c>
      <c r="I114" s="8">
        <v>707.6</v>
      </c>
      <c r="J114" s="8">
        <v>127.6</v>
      </c>
      <c r="K114" s="8">
        <v>580</v>
      </c>
      <c r="L114" s="8">
        <f t="shared" si="8"/>
        <v>-4</v>
      </c>
      <c r="M114" s="11">
        <f t="shared" si="6"/>
        <v>-2320</v>
      </c>
      <c r="N114" s="1"/>
      <c r="O114" s="4"/>
    </row>
    <row r="115" spans="1:15" ht="12.75">
      <c r="A115" s="8" t="s">
        <v>74</v>
      </c>
      <c r="B115" s="8">
        <v>1552</v>
      </c>
      <c r="C115" s="9">
        <v>43003</v>
      </c>
      <c r="D115" s="8" t="s">
        <v>77</v>
      </c>
      <c r="E115" s="9">
        <v>42947</v>
      </c>
      <c r="F115" s="9">
        <v>43004</v>
      </c>
      <c r="G115" s="10">
        <v>43009</v>
      </c>
      <c r="H115" s="8" t="s">
        <v>72</v>
      </c>
      <c r="I115" s="8">
        <v>783.22</v>
      </c>
      <c r="J115" s="8">
        <v>141.24</v>
      </c>
      <c r="K115" s="8">
        <v>641.98</v>
      </c>
      <c r="L115" s="8">
        <f t="shared" si="8"/>
        <v>-5</v>
      </c>
      <c r="M115" s="11">
        <f t="shared" si="6"/>
        <v>-3209.9</v>
      </c>
      <c r="N115" s="1"/>
      <c r="O115" s="4"/>
    </row>
    <row r="116" spans="1:15" ht="12.75">
      <c r="A116" s="8" t="s">
        <v>150</v>
      </c>
      <c r="B116" s="8">
        <v>1559</v>
      </c>
      <c r="C116" s="9">
        <v>43003</v>
      </c>
      <c r="D116" s="8" t="s">
        <v>25</v>
      </c>
      <c r="E116" s="9">
        <v>42976</v>
      </c>
      <c r="F116" s="9">
        <v>43004</v>
      </c>
      <c r="G116" s="10">
        <v>43009</v>
      </c>
      <c r="H116" s="8" t="s">
        <v>70</v>
      </c>
      <c r="I116" s="8">
        <v>185.41</v>
      </c>
      <c r="J116" s="8">
        <v>6.75</v>
      </c>
      <c r="K116" s="8">
        <v>178.66</v>
      </c>
      <c r="L116" s="8">
        <f t="shared" si="8"/>
        <v>-5</v>
      </c>
      <c r="M116" s="11">
        <f t="shared" si="6"/>
        <v>-893.3</v>
      </c>
      <c r="N116" s="1"/>
      <c r="O116" s="4"/>
    </row>
    <row r="117" spans="1:15" ht="12.75">
      <c r="A117" s="8" t="s">
        <v>5</v>
      </c>
      <c r="B117" s="8">
        <v>1549</v>
      </c>
      <c r="C117" s="9">
        <v>43003</v>
      </c>
      <c r="D117" s="8" t="s">
        <v>26</v>
      </c>
      <c r="E117" s="9">
        <v>42979</v>
      </c>
      <c r="F117" s="9">
        <v>43004</v>
      </c>
      <c r="G117" s="10">
        <v>43009</v>
      </c>
      <c r="H117" s="8" t="s">
        <v>72</v>
      </c>
      <c r="I117" s="11">
        <v>2926.38</v>
      </c>
      <c r="J117" s="8">
        <v>527.71</v>
      </c>
      <c r="K117" s="11">
        <v>2398.67</v>
      </c>
      <c r="L117" s="8">
        <f t="shared" si="8"/>
        <v>-5</v>
      </c>
      <c r="M117" s="11">
        <f t="shared" si="6"/>
        <v>-11993.35</v>
      </c>
      <c r="N117" s="1"/>
      <c r="O117" s="4"/>
    </row>
    <row r="118" spans="1:15" ht="12.75">
      <c r="A118" s="8" t="s">
        <v>71</v>
      </c>
      <c r="B118" s="8">
        <v>1134</v>
      </c>
      <c r="C118" s="9">
        <v>42938</v>
      </c>
      <c r="D118" s="8" t="str">
        <f>"0350120170800322100"</f>
        <v>0350120170800322100</v>
      </c>
      <c r="E118" s="9">
        <v>42907</v>
      </c>
      <c r="F118" s="9">
        <v>42938</v>
      </c>
      <c r="G118" s="10">
        <v>42944</v>
      </c>
      <c r="H118" s="8" t="s">
        <v>72</v>
      </c>
      <c r="I118" s="8">
        <v>7.7</v>
      </c>
      <c r="J118" s="8">
        <v>0.7</v>
      </c>
      <c r="K118" s="8">
        <v>7</v>
      </c>
      <c r="L118" s="8">
        <f t="shared" si="8"/>
        <v>-6</v>
      </c>
      <c r="M118" s="11">
        <f t="shared" si="6"/>
        <v>-42</v>
      </c>
      <c r="N118" s="1"/>
      <c r="O118" s="4"/>
    </row>
    <row r="119" spans="1:15" ht="12.75">
      <c r="A119" s="8" t="s">
        <v>71</v>
      </c>
      <c r="B119" s="8">
        <v>1130</v>
      </c>
      <c r="C119" s="9">
        <v>42938</v>
      </c>
      <c r="D119" s="8" t="str">
        <f>"0350120170800318100"</f>
        <v>0350120170800318100</v>
      </c>
      <c r="E119" s="9">
        <v>42907</v>
      </c>
      <c r="F119" s="9">
        <v>42938</v>
      </c>
      <c r="G119" s="10">
        <v>42944</v>
      </c>
      <c r="H119" s="8" t="s">
        <v>72</v>
      </c>
      <c r="I119" s="8">
        <v>40.18</v>
      </c>
      <c r="J119" s="8">
        <v>3.65</v>
      </c>
      <c r="K119" s="8">
        <v>36.53</v>
      </c>
      <c r="L119" s="8">
        <f t="shared" si="8"/>
        <v>-6</v>
      </c>
      <c r="M119" s="11">
        <f t="shared" si="6"/>
        <v>-219.18</v>
      </c>
      <c r="N119" s="1"/>
      <c r="O119" s="4"/>
    </row>
    <row r="120" spans="1:15" ht="12.75">
      <c r="A120" s="8" t="s">
        <v>71</v>
      </c>
      <c r="B120" s="8">
        <v>1138</v>
      </c>
      <c r="C120" s="9">
        <v>42938</v>
      </c>
      <c r="D120" s="8" t="str">
        <f>"0350120170800318200"</f>
        <v>0350120170800318200</v>
      </c>
      <c r="E120" s="9">
        <v>42907</v>
      </c>
      <c r="F120" s="9">
        <v>42938</v>
      </c>
      <c r="G120" s="10">
        <v>42944</v>
      </c>
      <c r="H120" s="8" t="s">
        <v>72</v>
      </c>
      <c r="I120" s="8">
        <v>521.06</v>
      </c>
      <c r="J120" s="8">
        <v>47.37</v>
      </c>
      <c r="K120" s="8">
        <v>473.69</v>
      </c>
      <c r="L120" s="8">
        <f t="shared" si="8"/>
        <v>-6</v>
      </c>
      <c r="M120" s="11">
        <f t="shared" si="6"/>
        <v>-2842.14</v>
      </c>
      <c r="N120" s="1"/>
      <c r="O120" s="4"/>
    </row>
    <row r="121" spans="1:15" ht="12.75">
      <c r="A121" s="8" t="s">
        <v>71</v>
      </c>
      <c r="B121" s="8">
        <v>1135</v>
      </c>
      <c r="C121" s="9">
        <v>42938</v>
      </c>
      <c r="D121" s="8" t="str">
        <f>"0350120170800318400"</f>
        <v>0350120170800318400</v>
      </c>
      <c r="E121" s="9">
        <v>42907</v>
      </c>
      <c r="F121" s="9">
        <v>42938</v>
      </c>
      <c r="G121" s="10">
        <v>42944</v>
      </c>
      <c r="H121" s="8" t="s">
        <v>72</v>
      </c>
      <c r="I121" s="8">
        <v>62.24</v>
      </c>
      <c r="J121" s="8">
        <v>5.66</v>
      </c>
      <c r="K121" s="8">
        <v>56.58</v>
      </c>
      <c r="L121" s="8">
        <f t="shared" si="8"/>
        <v>-6</v>
      </c>
      <c r="M121" s="11">
        <f t="shared" si="6"/>
        <v>-339.48</v>
      </c>
      <c r="N121" s="1"/>
      <c r="O121" s="4"/>
    </row>
    <row r="122" spans="1:15" ht="12.75">
      <c r="A122" s="8" t="s">
        <v>71</v>
      </c>
      <c r="B122" s="8">
        <v>1131</v>
      </c>
      <c r="C122" s="9">
        <v>42938</v>
      </c>
      <c r="D122" s="8" t="str">
        <f>"0350120170800318600"</f>
        <v>0350120170800318600</v>
      </c>
      <c r="E122" s="9">
        <v>42907</v>
      </c>
      <c r="F122" s="9">
        <v>42938</v>
      </c>
      <c r="G122" s="10">
        <v>42944</v>
      </c>
      <c r="H122" s="8" t="s">
        <v>72</v>
      </c>
      <c r="I122" s="8">
        <v>197.2</v>
      </c>
      <c r="J122" s="8">
        <v>17.93</v>
      </c>
      <c r="K122" s="8">
        <v>179.27</v>
      </c>
      <c r="L122" s="8">
        <f t="shared" si="8"/>
        <v>-6</v>
      </c>
      <c r="M122" s="11">
        <f t="shared" si="6"/>
        <v>-1075.6200000000001</v>
      </c>
      <c r="N122" s="1"/>
      <c r="O122" s="4"/>
    </row>
    <row r="123" spans="1:15" ht="12.75">
      <c r="A123" s="8" t="s">
        <v>71</v>
      </c>
      <c r="B123" s="8">
        <v>1130</v>
      </c>
      <c r="C123" s="9">
        <v>42938</v>
      </c>
      <c r="D123" s="8" t="str">
        <f>"0350120170800318800"</f>
        <v>0350120170800318800</v>
      </c>
      <c r="E123" s="9">
        <v>42907</v>
      </c>
      <c r="F123" s="9">
        <v>42938</v>
      </c>
      <c r="G123" s="10">
        <v>42944</v>
      </c>
      <c r="H123" s="8" t="s">
        <v>72</v>
      </c>
      <c r="I123" s="8">
        <v>3.08</v>
      </c>
      <c r="J123" s="8">
        <v>0.28</v>
      </c>
      <c r="K123" s="8">
        <v>2.8</v>
      </c>
      <c r="L123" s="8">
        <f t="shared" si="8"/>
        <v>-6</v>
      </c>
      <c r="M123" s="11">
        <f t="shared" si="6"/>
        <v>-16.799999999999997</v>
      </c>
      <c r="N123" s="1"/>
      <c r="O123" s="4"/>
    </row>
    <row r="124" spans="1:15" ht="12.75">
      <c r="A124" s="8" t="s">
        <v>71</v>
      </c>
      <c r="B124" s="8">
        <v>1130</v>
      </c>
      <c r="C124" s="9">
        <v>42938</v>
      </c>
      <c r="D124" s="8" t="str">
        <f>"0350120170800319300"</f>
        <v>0350120170800319300</v>
      </c>
      <c r="E124" s="9">
        <v>42907</v>
      </c>
      <c r="F124" s="9">
        <v>42938</v>
      </c>
      <c r="G124" s="10">
        <v>42944</v>
      </c>
      <c r="H124" s="8" t="s">
        <v>72</v>
      </c>
      <c r="I124" s="8">
        <v>2.7</v>
      </c>
      <c r="J124" s="8">
        <v>0.25</v>
      </c>
      <c r="K124" s="8">
        <v>2.45</v>
      </c>
      <c r="L124" s="8">
        <f t="shared" si="8"/>
        <v>-6</v>
      </c>
      <c r="M124" s="11">
        <f t="shared" si="6"/>
        <v>-14.700000000000001</v>
      </c>
      <c r="N124" s="1"/>
      <c r="O124" s="4"/>
    </row>
    <row r="125" spans="1:15" ht="12.75">
      <c r="A125" s="8" t="s">
        <v>71</v>
      </c>
      <c r="B125" s="8">
        <v>1132</v>
      </c>
      <c r="C125" s="9">
        <v>42938</v>
      </c>
      <c r="D125" s="8" t="str">
        <f>"0350120170800317700"</f>
        <v>0350120170800317700</v>
      </c>
      <c r="E125" s="9">
        <v>42907</v>
      </c>
      <c r="F125" s="9">
        <v>42938</v>
      </c>
      <c r="G125" s="10">
        <v>42944</v>
      </c>
      <c r="H125" s="8" t="s">
        <v>72</v>
      </c>
      <c r="I125" s="8">
        <v>72.49</v>
      </c>
      <c r="J125" s="8">
        <v>6.59</v>
      </c>
      <c r="K125" s="8">
        <v>65.9</v>
      </c>
      <c r="L125" s="8">
        <f t="shared" si="8"/>
        <v>-6</v>
      </c>
      <c r="M125" s="11">
        <f t="shared" si="6"/>
        <v>-395.40000000000003</v>
      </c>
      <c r="N125" s="1"/>
      <c r="O125" s="4"/>
    </row>
    <row r="126" spans="1:15" ht="12.75">
      <c r="A126" s="8" t="s">
        <v>71</v>
      </c>
      <c r="B126" s="8">
        <v>1131</v>
      </c>
      <c r="C126" s="9">
        <v>42938</v>
      </c>
      <c r="D126" s="8" t="str">
        <f>"0350120170800319000"</f>
        <v>0350120170800319000</v>
      </c>
      <c r="E126" s="9">
        <v>42907</v>
      </c>
      <c r="F126" s="9">
        <v>42938</v>
      </c>
      <c r="G126" s="10">
        <v>42944</v>
      </c>
      <c r="H126" s="8" t="s">
        <v>72</v>
      </c>
      <c r="I126" s="8">
        <v>1.18</v>
      </c>
      <c r="J126" s="8">
        <v>0.11</v>
      </c>
      <c r="K126" s="8">
        <v>1.07</v>
      </c>
      <c r="L126" s="8">
        <f t="shared" si="8"/>
        <v>-6</v>
      </c>
      <c r="M126" s="11">
        <f t="shared" si="6"/>
        <v>-6.42</v>
      </c>
      <c r="N126" s="1"/>
      <c r="O126" s="4"/>
    </row>
    <row r="127" spans="1:15" ht="12.75">
      <c r="A127" s="8" t="s">
        <v>71</v>
      </c>
      <c r="B127" s="8">
        <v>1130</v>
      </c>
      <c r="C127" s="9">
        <v>42938</v>
      </c>
      <c r="D127" s="8" t="str">
        <f>"0350120170800319100"</f>
        <v>0350120170800319100</v>
      </c>
      <c r="E127" s="9">
        <v>42907</v>
      </c>
      <c r="F127" s="9">
        <v>42938</v>
      </c>
      <c r="G127" s="10">
        <v>42944</v>
      </c>
      <c r="H127" s="8" t="s">
        <v>72</v>
      </c>
      <c r="I127" s="8">
        <v>46.73</v>
      </c>
      <c r="J127" s="8">
        <v>4.25</v>
      </c>
      <c r="K127" s="8">
        <v>42.48</v>
      </c>
      <c r="L127" s="8">
        <f t="shared" si="8"/>
        <v>-6</v>
      </c>
      <c r="M127" s="11">
        <f t="shared" si="6"/>
        <v>-254.88</v>
      </c>
      <c r="N127" s="1"/>
      <c r="O127" s="4"/>
    </row>
    <row r="128" spans="1:15" ht="12.75">
      <c r="A128" s="8" t="s">
        <v>71</v>
      </c>
      <c r="B128" s="8">
        <v>1131</v>
      </c>
      <c r="C128" s="9">
        <v>42938</v>
      </c>
      <c r="D128" s="8" t="str">
        <f>"0350120170800318500"</f>
        <v>0350120170800318500</v>
      </c>
      <c r="E128" s="9">
        <v>42907</v>
      </c>
      <c r="F128" s="9">
        <v>42938</v>
      </c>
      <c r="G128" s="10">
        <v>42944</v>
      </c>
      <c r="H128" s="8" t="s">
        <v>72</v>
      </c>
      <c r="I128" s="8">
        <v>1.44</v>
      </c>
      <c r="J128" s="8">
        <v>0.13</v>
      </c>
      <c r="K128" s="8">
        <v>1.31</v>
      </c>
      <c r="L128" s="8">
        <f>+F128-G128</f>
        <v>-6</v>
      </c>
      <c r="M128" s="11">
        <f>+K128*L128</f>
        <v>-7.86</v>
      </c>
      <c r="N128" s="1"/>
      <c r="O128" s="4"/>
    </row>
    <row r="129" spans="1:15" ht="12.75">
      <c r="A129" s="8" t="s">
        <v>71</v>
      </c>
      <c r="B129" s="8">
        <v>1130</v>
      </c>
      <c r="C129" s="9">
        <v>42938</v>
      </c>
      <c r="D129" s="8" t="str">
        <f>"0350120170800317800"</f>
        <v>0350120170800317800</v>
      </c>
      <c r="E129" s="9">
        <v>42907</v>
      </c>
      <c r="F129" s="9">
        <v>42938</v>
      </c>
      <c r="G129" s="10">
        <v>42944</v>
      </c>
      <c r="H129" s="8" t="s">
        <v>72</v>
      </c>
      <c r="I129" s="8">
        <v>18.62</v>
      </c>
      <c r="J129" s="8">
        <v>1.69</v>
      </c>
      <c r="K129" s="8">
        <v>16.93</v>
      </c>
      <c r="L129" s="8">
        <f t="shared" si="8"/>
        <v>-6</v>
      </c>
      <c r="M129" s="11">
        <f t="shared" si="6"/>
        <v>-101.58</v>
      </c>
      <c r="N129" s="1"/>
      <c r="O129" s="4"/>
    </row>
    <row r="130" spans="1:15" ht="12.75">
      <c r="A130" s="8" t="s">
        <v>71</v>
      </c>
      <c r="B130" s="8">
        <v>1137</v>
      </c>
      <c r="C130" s="9">
        <v>42938</v>
      </c>
      <c r="D130" s="8" t="str">
        <f>"0350120170800318300"</f>
        <v>0350120170800318300</v>
      </c>
      <c r="E130" s="9">
        <v>42907</v>
      </c>
      <c r="F130" s="9">
        <v>42938</v>
      </c>
      <c r="G130" s="10">
        <v>42944</v>
      </c>
      <c r="H130" s="8" t="s">
        <v>72</v>
      </c>
      <c r="I130" s="8">
        <v>33.4</v>
      </c>
      <c r="J130" s="8">
        <v>3.04</v>
      </c>
      <c r="K130" s="8">
        <v>30.36</v>
      </c>
      <c r="L130" s="8">
        <f t="shared" si="8"/>
        <v>-6</v>
      </c>
      <c r="M130" s="11">
        <f t="shared" si="6"/>
        <v>-182.16</v>
      </c>
      <c r="N130" s="1"/>
      <c r="O130" s="4"/>
    </row>
    <row r="131" spans="1:15" ht="12.75">
      <c r="A131" s="8" t="s">
        <v>71</v>
      </c>
      <c r="B131" s="8">
        <v>1130</v>
      </c>
      <c r="C131" s="9">
        <v>42938</v>
      </c>
      <c r="D131" s="8" t="str">
        <f>"0350120170800318700"</f>
        <v>0350120170800318700</v>
      </c>
      <c r="E131" s="9">
        <v>42907</v>
      </c>
      <c r="F131" s="9">
        <v>42938</v>
      </c>
      <c r="G131" s="10">
        <v>42944</v>
      </c>
      <c r="H131" s="8" t="s">
        <v>72</v>
      </c>
      <c r="I131" s="8">
        <v>1.21</v>
      </c>
      <c r="J131" s="8">
        <v>0.11</v>
      </c>
      <c r="K131" s="8">
        <v>1.1</v>
      </c>
      <c r="L131" s="8">
        <f t="shared" si="8"/>
        <v>-6</v>
      </c>
      <c r="M131" s="11">
        <f t="shared" si="6"/>
        <v>-6.6000000000000005</v>
      </c>
      <c r="N131" s="1"/>
      <c r="O131" s="4"/>
    </row>
    <row r="132" spans="1:15" ht="12.75">
      <c r="A132" s="8" t="s">
        <v>71</v>
      </c>
      <c r="B132" s="8">
        <v>1133</v>
      </c>
      <c r="C132" s="9">
        <v>42938</v>
      </c>
      <c r="D132" s="8" t="str">
        <f>"0350120170800319600"</f>
        <v>0350120170800319600</v>
      </c>
      <c r="E132" s="9">
        <v>42907</v>
      </c>
      <c r="F132" s="9">
        <v>42938</v>
      </c>
      <c r="G132" s="10">
        <v>42944</v>
      </c>
      <c r="H132" s="8" t="s">
        <v>72</v>
      </c>
      <c r="I132" s="8">
        <v>79.87</v>
      </c>
      <c r="J132" s="8">
        <v>7.26</v>
      </c>
      <c r="K132" s="8">
        <v>72.61</v>
      </c>
      <c r="L132" s="8">
        <f aca="true" t="shared" si="9" ref="L132:L163">+F132-G132</f>
        <v>-6</v>
      </c>
      <c r="M132" s="11">
        <f t="shared" si="6"/>
        <v>-435.65999999999997</v>
      </c>
      <c r="N132" s="1"/>
      <c r="O132" s="4"/>
    </row>
    <row r="133" spans="1:15" ht="12.75">
      <c r="A133" s="8" t="s">
        <v>71</v>
      </c>
      <c r="B133" s="8">
        <v>1136</v>
      </c>
      <c r="C133" s="9">
        <v>42938</v>
      </c>
      <c r="D133" s="8" t="str">
        <f>"0350120170800319500"</f>
        <v>0350120170800319500</v>
      </c>
      <c r="E133" s="9">
        <v>42907</v>
      </c>
      <c r="F133" s="9">
        <v>42938</v>
      </c>
      <c r="G133" s="10">
        <v>42944</v>
      </c>
      <c r="H133" s="8" t="s">
        <v>72</v>
      </c>
      <c r="I133" s="11">
        <v>1033.73</v>
      </c>
      <c r="J133" s="8">
        <v>93.98</v>
      </c>
      <c r="K133" s="8">
        <v>939.75</v>
      </c>
      <c r="L133" s="8">
        <f t="shared" si="9"/>
        <v>-6</v>
      </c>
      <c r="M133" s="11">
        <f t="shared" si="6"/>
        <v>-5638.5</v>
      </c>
      <c r="N133" s="1"/>
      <c r="O133" s="4"/>
    </row>
    <row r="134" spans="1:15" ht="12.75">
      <c r="A134" s="8" t="s">
        <v>150</v>
      </c>
      <c r="B134" s="8">
        <v>1322</v>
      </c>
      <c r="C134" s="9">
        <v>42956</v>
      </c>
      <c r="D134" s="8" t="s">
        <v>27</v>
      </c>
      <c r="E134" s="9">
        <v>42927</v>
      </c>
      <c r="F134" s="9">
        <v>42957</v>
      </c>
      <c r="G134" s="10">
        <v>42965</v>
      </c>
      <c r="H134" s="8" t="s">
        <v>70</v>
      </c>
      <c r="I134" s="8">
        <v>863.54</v>
      </c>
      <c r="J134" s="8">
        <v>31.41</v>
      </c>
      <c r="K134" s="8">
        <v>832.13</v>
      </c>
      <c r="L134" s="8">
        <f t="shared" si="9"/>
        <v>-8</v>
      </c>
      <c r="M134" s="11">
        <f t="shared" si="6"/>
        <v>-6657.04</v>
      </c>
      <c r="N134" s="1"/>
      <c r="O134" s="4"/>
    </row>
    <row r="135" spans="1:15" ht="12.75">
      <c r="A135" s="8" t="s">
        <v>150</v>
      </c>
      <c r="B135" s="8">
        <v>1322</v>
      </c>
      <c r="C135" s="9">
        <v>42956</v>
      </c>
      <c r="D135" s="8" t="s">
        <v>28</v>
      </c>
      <c r="E135" s="9">
        <v>42927</v>
      </c>
      <c r="F135" s="9">
        <v>42957</v>
      </c>
      <c r="G135" s="10">
        <v>42965</v>
      </c>
      <c r="H135" s="8" t="s">
        <v>70</v>
      </c>
      <c r="I135" s="8">
        <v>739.78</v>
      </c>
      <c r="J135" s="8">
        <v>26.9</v>
      </c>
      <c r="K135" s="8">
        <v>712.88</v>
      </c>
      <c r="L135" s="8">
        <f t="shared" si="9"/>
        <v>-8</v>
      </c>
      <c r="M135" s="11">
        <f t="shared" si="6"/>
        <v>-5703.04</v>
      </c>
      <c r="N135" s="1"/>
      <c r="O135" s="4"/>
    </row>
    <row r="136" spans="1:15" ht="12.75">
      <c r="A136" s="8" t="s">
        <v>150</v>
      </c>
      <c r="B136" s="8">
        <v>1322</v>
      </c>
      <c r="C136" s="9">
        <v>42956</v>
      </c>
      <c r="D136" s="8" t="s">
        <v>29</v>
      </c>
      <c r="E136" s="9">
        <v>42927</v>
      </c>
      <c r="F136" s="9">
        <v>42957</v>
      </c>
      <c r="G136" s="10">
        <v>42965</v>
      </c>
      <c r="H136" s="8" t="s">
        <v>70</v>
      </c>
      <c r="I136" s="8">
        <v>764.06</v>
      </c>
      <c r="J136" s="8">
        <v>27.79</v>
      </c>
      <c r="K136" s="8">
        <v>736.27</v>
      </c>
      <c r="L136" s="8">
        <f t="shared" si="9"/>
        <v>-8</v>
      </c>
      <c r="M136" s="11">
        <f t="shared" si="6"/>
        <v>-5890.16</v>
      </c>
      <c r="N136" s="1"/>
      <c r="O136" s="4"/>
    </row>
    <row r="137" spans="1:15" ht="12.75">
      <c r="A137" s="8" t="s">
        <v>4</v>
      </c>
      <c r="B137" s="8">
        <v>1335</v>
      </c>
      <c r="C137" s="9">
        <v>42956</v>
      </c>
      <c r="D137" s="8" t="str">
        <f>"8017131883"</f>
        <v>8017131883</v>
      </c>
      <c r="E137" s="9">
        <v>42935</v>
      </c>
      <c r="F137" s="9">
        <v>42957</v>
      </c>
      <c r="G137" s="10">
        <v>42965</v>
      </c>
      <c r="H137" s="8" t="s">
        <v>70</v>
      </c>
      <c r="I137" s="8">
        <v>21.98</v>
      </c>
      <c r="J137" s="8">
        <v>21.98</v>
      </c>
      <c r="K137" s="8">
        <v>0</v>
      </c>
      <c r="L137" s="8">
        <f t="shared" si="9"/>
        <v>-8</v>
      </c>
      <c r="M137" s="11">
        <f t="shared" si="6"/>
        <v>0</v>
      </c>
      <c r="N137" s="1"/>
      <c r="O137" s="4"/>
    </row>
    <row r="138" spans="1:15" ht="12.75">
      <c r="A138" s="8" t="s">
        <v>148</v>
      </c>
      <c r="B138" s="8">
        <v>1532</v>
      </c>
      <c r="C138" s="9">
        <v>43001</v>
      </c>
      <c r="D138" s="8" t="s">
        <v>149</v>
      </c>
      <c r="E138" s="9">
        <v>42983</v>
      </c>
      <c r="F138" s="9">
        <v>43004</v>
      </c>
      <c r="G138" s="10">
        <v>43013</v>
      </c>
      <c r="H138" s="8" t="s">
        <v>72</v>
      </c>
      <c r="I138" s="11">
        <v>1001</v>
      </c>
      <c r="J138" s="8">
        <v>0</v>
      </c>
      <c r="K138" s="11">
        <v>1001</v>
      </c>
      <c r="L138" s="8">
        <f t="shared" si="9"/>
        <v>-9</v>
      </c>
      <c r="M138" s="11">
        <f t="shared" si="6"/>
        <v>-9009</v>
      </c>
      <c r="N138" s="1"/>
      <c r="O138" s="4"/>
    </row>
    <row r="139" spans="1:15" ht="12.75">
      <c r="A139" s="8" t="s">
        <v>30</v>
      </c>
      <c r="B139" s="8">
        <v>1342</v>
      </c>
      <c r="C139" s="9">
        <v>42956</v>
      </c>
      <c r="D139" s="8" t="str">
        <f>"0052515432"</f>
        <v>0052515432</v>
      </c>
      <c r="E139" s="9">
        <v>42923</v>
      </c>
      <c r="F139" s="9">
        <v>42957</v>
      </c>
      <c r="G139" s="10">
        <v>42966</v>
      </c>
      <c r="H139" s="8" t="s">
        <v>70</v>
      </c>
      <c r="I139" s="11">
        <v>1427.25</v>
      </c>
      <c r="J139" s="8">
        <v>257.37</v>
      </c>
      <c r="K139" s="11">
        <v>1169.88</v>
      </c>
      <c r="L139" s="8">
        <f t="shared" si="9"/>
        <v>-9</v>
      </c>
      <c r="M139" s="11">
        <f t="shared" si="6"/>
        <v>-10528.920000000002</v>
      </c>
      <c r="N139" s="1"/>
      <c r="O139" s="4"/>
    </row>
    <row r="140" spans="1:15" ht="12.75">
      <c r="A140" s="8" t="s">
        <v>31</v>
      </c>
      <c r="B140" s="8">
        <v>1147</v>
      </c>
      <c r="C140" s="9">
        <v>42938</v>
      </c>
      <c r="D140" s="8" t="s">
        <v>32</v>
      </c>
      <c r="E140" s="9">
        <v>42886</v>
      </c>
      <c r="F140" s="9">
        <v>42938</v>
      </c>
      <c r="G140" s="10">
        <v>42947</v>
      </c>
      <c r="H140" s="8" t="s">
        <v>72</v>
      </c>
      <c r="I140" s="11">
        <v>1086.07</v>
      </c>
      <c r="J140" s="8">
        <v>41.77</v>
      </c>
      <c r="K140" s="11">
        <v>1044.3</v>
      </c>
      <c r="L140" s="8">
        <f t="shared" si="9"/>
        <v>-9</v>
      </c>
      <c r="M140" s="11">
        <f>+K140*L140</f>
        <v>-9398.699999999999</v>
      </c>
      <c r="N140" s="1"/>
      <c r="O140" s="4"/>
    </row>
    <row r="141" spans="1:15" ht="12.75">
      <c r="A141" s="8" t="s">
        <v>31</v>
      </c>
      <c r="B141" s="8">
        <v>1127</v>
      </c>
      <c r="C141" s="9">
        <v>42938</v>
      </c>
      <c r="D141" s="8" t="s">
        <v>33</v>
      </c>
      <c r="E141" s="9">
        <v>42886</v>
      </c>
      <c r="F141" s="9">
        <v>42938</v>
      </c>
      <c r="G141" s="10">
        <v>42947</v>
      </c>
      <c r="H141" s="8" t="s">
        <v>72</v>
      </c>
      <c r="I141" s="11">
        <v>15922.92</v>
      </c>
      <c r="J141" s="8">
        <v>612.42</v>
      </c>
      <c r="K141" s="11">
        <v>15310.5</v>
      </c>
      <c r="L141" s="8">
        <f t="shared" si="9"/>
        <v>-9</v>
      </c>
      <c r="M141" s="11">
        <f t="shared" si="6"/>
        <v>-137794.5</v>
      </c>
      <c r="N141" s="1"/>
      <c r="O141" s="4"/>
    </row>
    <row r="142" spans="1:15" ht="12.75">
      <c r="A142" s="8" t="s">
        <v>34</v>
      </c>
      <c r="B142" s="8">
        <v>1128</v>
      </c>
      <c r="C142" s="9">
        <v>42938</v>
      </c>
      <c r="D142" s="8" t="s">
        <v>35</v>
      </c>
      <c r="E142" s="9">
        <v>42885</v>
      </c>
      <c r="F142" s="9">
        <v>42938</v>
      </c>
      <c r="G142" s="10">
        <v>42947</v>
      </c>
      <c r="H142" s="8" t="s">
        <v>72</v>
      </c>
      <c r="I142" s="8">
        <v>578.28</v>
      </c>
      <c r="J142" s="8">
        <v>104.28</v>
      </c>
      <c r="K142" s="8">
        <v>474</v>
      </c>
      <c r="L142" s="8">
        <f t="shared" si="9"/>
        <v>-9</v>
      </c>
      <c r="M142" s="11">
        <f aca="true" t="shared" si="10" ref="M142:M173">+K142*L142</f>
        <v>-4266</v>
      </c>
      <c r="N142" s="1"/>
      <c r="O142" s="4"/>
    </row>
    <row r="143" spans="1:15" ht="12.75">
      <c r="A143" s="8" t="s">
        <v>36</v>
      </c>
      <c r="B143" s="8">
        <v>1125</v>
      </c>
      <c r="C143" s="9">
        <v>42938</v>
      </c>
      <c r="D143" s="8" t="s">
        <v>37</v>
      </c>
      <c r="E143" s="9">
        <v>42894</v>
      </c>
      <c r="F143" s="9">
        <v>42938</v>
      </c>
      <c r="G143" s="10">
        <v>42947</v>
      </c>
      <c r="H143" s="8" t="s">
        <v>72</v>
      </c>
      <c r="I143" s="11">
        <v>4629.5</v>
      </c>
      <c r="J143" s="8">
        <v>0</v>
      </c>
      <c r="K143" s="11">
        <v>4629.5</v>
      </c>
      <c r="L143" s="8">
        <f t="shared" si="9"/>
        <v>-9</v>
      </c>
      <c r="M143" s="11">
        <f t="shared" si="10"/>
        <v>-41665.5</v>
      </c>
      <c r="N143" s="1"/>
      <c r="O143" s="4"/>
    </row>
    <row r="144" spans="1:15" ht="12.75">
      <c r="A144" s="8" t="s">
        <v>38</v>
      </c>
      <c r="B144" s="8">
        <v>1513</v>
      </c>
      <c r="C144" s="9">
        <v>43001</v>
      </c>
      <c r="D144" s="8" t="s">
        <v>39</v>
      </c>
      <c r="E144" s="9">
        <v>42953</v>
      </c>
      <c r="F144" s="9">
        <v>43004</v>
      </c>
      <c r="G144" s="10">
        <v>43014</v>
      </c>
      <c r="H144" s="8" t="s">
        <v>72</v>
      </c>
      <c r="I144" s="11">
        <v>1048.95</v>
      </c>
      <c r="J144" s="8">
        <v>49.95</v>
      </c>
      <c r="K144" s="8">
        <v>999</v>
      </c>
      <c r="L144" s="8">
        <f t="shared" si="9"/>
        <v>-10</v>
      </c>
      <c r="M144" s="11">
        <f t="shared" si="10"/>
        <v>-9990</v>
      </c>
      <c r="N144" s="1"/>
      <c r="O144" s="4"/>
    </row>
    <row r="145" spans="1:15" ht="12.75">
      <c r="A145" s="8" t="s">
        <v>40</v>
      </c>
      <c r="B145" s="8">
        <v>1685</v>
      </c>
      <c r="C145" s="9">
        <v>43008</v>
      </c>
      <c r="D145" s="8" t="s">
        <v>41</v>
      </c>
      <c r="E145" s="9">
        <v>42947</v>
      </c>
      <c r="F145" s="9">
        <v>43008</v>
      </c>
      <c r="G145" s="10">
        <v>43018</v>
      </c>
      <c r="H145" s="8" t="s">
        <v>72</v>
      </c>
      <c r="I145" s="11">
        <v>5654.27</v>
      </c>
      <c r="J145" s="8">
        <v>269.25</v>
      </c>
      <c r="K145" s="11">
        <v>5385.02</v>
      </c>
      <c r="L145" s="8">
        <f t="shared" si="9"/>
        <v>-10</v>
      </c>
      <c r="M145" s="11">
        <f t="shared" si="10"/>
        <v>-53850.200000000004</v>
      </c>
      <c r="N145" s="1"/>
      <c r="O145" s="4"/>
    </row>
    <row r="146" spans="1:15" ht="12.75">
      <c r="A146" s="8" t="s">
        <v>42</v>
      </c>
      <c r="B146" s="8">
        <v>1269</v>
      </c>
      <c r="C146" s="9">
        <v>42950</v>
      </c>
      <c r="D146" s="8" t="s">
        <v>43</v>
      </c>
      <c r="E146" s="9">
        <v>42902</v>
      </c>
      <c r="F146" s="9">
        <v>42952</v>
      </c>
      <c r="G146" s="10">
        <v>42963</v>
      </c>
      <c r="H146" s="8" t="s">
        <v>72</v>
      </c>
      <c r="I146" s="11">
        <v>2027.49</v>
      </c>
      <c r="J146" s="8">
        <v>365.61</v>
      </c>
      <c r="K146" s="11">
        <v>1661.88</v>
      </c>
      <c r="L146" s="8">
        <f t="shared" si="9"/>
        <v>-11</v>
      </c>
      <c r="M146" s="11">
        <f t="shared" si="10"/>
        <v>-18280.68</v>
      </c>
      <c r="N146" s="1"/>
      <c r="O146" s="4"/>
    </row>
    <row r="147" spans="1:15" ht="12.75">
      <c r="A147" s="8" t="s">
        <v>78</v>
      </c>
      <c r="B147" s="8">
        <v>1347</v>
      </c>
      <c r="C147" s="9">
        <v>42956</v>
      </c>
      <c r="D147" s="8" t="s">
        <v>44</v>
      </c>
      <c r="E147" s="9">
        <v>42948</v>
      </c>
      <c r="F147" s="9">
        <v>42957</v>
      </c>
      <c r="G147" s="10">
        <v>42968</v>
      </c>
      <c r="H147" s="8" t="s">
        <v>72</v>
      </c>
      <c r="I147" s="8">
        <v>129.82</v>
      </c>
      <c r="J147" s="8">
        <v>23.41</v>
      </c>
      <c r="K147" s="8">
        <v>106.41</v>
      </c>
      <c r="L147" s="8">
        <f t="shared" si="9"/>
        <v>-11</v>
      </c>
      <c r="M147" s="11">
        <f t="shared" si="10"/>
        <v>-1170.51</v>
      </c>
      <c r="N147" s="1"/>
      <c r="O147" s="4"/>
    </row>
    <row r="148" spans="1:15" ht="12.75">
      <c r="A148" s="8" t="s">
        <v>78</v>
      </c>
      <c r="B148" s="8">
        <v>1345</v>
      </c>
      <c r="C148" s="9">
        <v>42956</v>
      </c>
      <c r="D148" s="8" t="s">
        <v>45</v>
      </c>
      <c r="E148" s="9">
        <v>42948</v>
      </c>
      <c r="F148" s="9">
        <v>42957</v>
      </c>
      <c r="G148" s="10">
        <v>42968</v>
      </c>
      <c r="H148" s="8" t="s">
        <v>72</v>
      </c>
      <c r="I148" s="8">
        <v>318.73</v>
      </c>
      <c r="J148" s="8">
        <v>57.48</v>
      </c>
      <c r="K148" s="8">
        <v>261.25</v>
      </c>
      <c r="L148" s="8">
        <f t="shared" si="9"/>
        <v>-11</v>
      </c>
      <c r="M148" s="11">
        <f t="shared" si="10"/>
        <v>-2873.75</v>
      </c>
      <c r="N148" s="1"/>
      <c r="O148" s="4"/>
    </row>
    <row r="149" spans="1:15" ht="12.75">
      <c r="A149" s="8" t="s">
        <v>78</v>
      </c>
      <c r="B149" s="8">
        <v>1346</v>
      </c>
      <c r="C149" s="9">
        <v>42956</v>
      </c>
      <c r="D149" s="8" t="s">
        <v>46</v>
      </c>
      <c r="E149" s="9">
        <v>42948</v>
      </c>
      <c r="F149" s="9">
        <v>42957</v>
      </c>
      <c r="G149" s="10">
        <v>42968</v>
      </c>
      <c r="H149" s="8" t="s">
        <v>72</v>
      </c>
      <c r="I149" s="8">
        <v>507.92</v>
      </c>
      <c r="J149" s="8">
        <v>91.59</v>
      </c>
      <c r="K149" s="8">
        <v>416.33</v>
      </c>
      <c r="L149" s="8">
        <f t="shared" si="9"/>
        <v>-11</v>
      </c>
      <c r="M149" s="11">
        <f t="shared" si="10"/>
        <v>-4579.63</v>
      </c>
      <c r="N149" s="1"/>
      <c r="O149" s="4"/>
    </row>
    <row r="150" spans="1:15" ht="12.75">
      <c r="A150" s="8" t="s">
        <v>78</v>
      </c>
      <c r="B150" s="8">
        <v>1351</v>
      </c>
      <c r="C150" s="9">
        <v>42956</v>
      </c>
      <c r="D150" s="8" t="s">
        <v>47</v>
      </c>
      <c r="E150" s="9">
        <v>42948</v>
      </c>
      <c r="F150" s="9">
        <v>42957</v>
      </c>
      <c r="G150" s="10">
        <v>42968</v>
      </c>
      <c r="H150" s="8" t="s">
        <v>72</v>
      </c>
      <c r="I150" s="11">
        <v>2461.58</v>
      </c>
      <c r="J150" s="8">
        <v>443.89</v>
      </c>
      <c r="K150" s="11">
        <v>2017.69</v>
      </c>
      <c r="L150" s="8">
        <f t="shared" si="9"/>
        <v>-11</v>
      </c>
      <c r="M150" s="11">
        <f t="shared" si="10"/>
        <v>-22194.59</v>
      </c>
      <c r="N150" s="1"/>
      <c r="O150" s="4"/>
    </row>
    <row r="151" spans="1:15" ht="12.75">
      <c r="A151" s="8" t="s">
        <v>78</v>
      </c>
      <c r="B151" s="8">
        <v>1348</v>
      </c>
      <c r="C151" s="9">
        <v>42956</v>
      </c>
      <c r="D151" s="8" t="s">
        <v>48</v>
      </c>
      <c r="E151" s="9">
        <v>42948</v>
      </c>
      <c r="F151" s="9">
        <v>42957</v>
      </c>
      <c r="G151" s="10">
        <v>42968</v>
      </c>
      <c r="H151" s="8" t="s">
        <v>72</v>
      </c>
      <c r="I151" s="8">
        <v>224.52</v>
      </c>
      <c r="J151" s="8">
        <v>40.49</v>
      </c>
      <c r="K151" s="8">
        <v>184.03</v>
      </c>
      <c r="L151" s="8">
        <f t="shared" si="9"/>
        <v>-11</v>
      </c>
      <c r="M151" s="11">
        <f t="shared" si="10"/>
        <v>-2024.33</v>
      </c>
      <c r="N151" s="1"/>
      <c r="O151" s="4"/>
    </row>
    <row r="152" spans="1:15" ht="12.75">
      <c r="A152" s="8" t="s">
        <v>78</v>
      </c>
      <c r="B152" s="8">
        <v>1349</v>
      </c>
      <c r="C152" s="9">
        <v>42956</v>
      </c>
      <c r="D152" s="8" t="s">
        <v>49</v>
      </c>
      <c r="E152" s="9">
        <v>42948</v>
      </c>
      <c r="F152" s="9">
        <v>42957</v>
      </c>
      <c r="G152" s="10">
        <v>42968</v>
      </c>
      <c r="H152" s="8" t="s">
        <v>72</v>
      </c>
      <c r="I152" s="8">
        <v>131.94</v>
      </c>
      <c r="J152" s="8">
        <v>23.79</v>
      </c>
      <c r="K152" s="8">
        <v>108.15</v>
      </c>
      <c r="L152" s="8">
        <f t="shared" si="9"/>
        <v>-11</v>
      </c>
      <c r="M152" s="11">
        <f t="shared" si="10"/>
        <v>-1189.65</v>
      </c>
      <c r="N152" s="1"/>
      <c r="O152" s="4"/>
    </row>
    <row r="153" spans="1:15" ht="12.75">
      <c r="A153" s="8" t="s">
        <v>78</v>
      </c>
      <c r="B153" s="8">
        <v>1350</v>
      </c>
      <c r="C153" s="9">
        <v>42956</v>
      </c>
      <c r="D153" s="8" t="s">
        <v>50</v>
      </c>
      <c r="E153" s="9">
        <v>42948</v>
      </c>
      <c r="F153" s="9">
        <v>42957</v>
      </c>
      <c r="G153" s="10">
        <v>42968</v>
      </c>
      <c r="H153" s="8" t="s">
        <v>72</v>
      </c>
      <c r="I153" s="8">
        <v>374.87</v>
      </c>
      <c r="J153" s="8">
        <v>67.6</v>
      </c>
      <c r="K153" s="8">
        <v>307.27</v>
      </c>
      <c r="L153" s="8">
        <f t="shared" si="9"/>
        <v>-11</v>
      </c>
      <c r="M153" s="11">
        <f t="shared" si="10"/>
        <v>-3379.97</v>
      </c>
      <c r="N153" s="1"/>
      <c r="O153" s="4"/>
    </row>
    <row r="154" spans="1:15" ht="12.75">
      <c r="A154" s="8" t="s">
        <v>51</v>
      </c>
      <c r="B154" s="8">
        <v>1564</v>
      </c>
      <c r="C154" s="9">
        <v>43003</v>
      </c>
      <c r="D154" s="8" t="str">
        <f>"12894"</f>
        <v>12894</v>
      </c>
      <c r="E154" s="9">
        <v>42978</v>
      </c>
      <c r="F154" s="9">
        <v>43004</v>
      </c>
      <c r="G154" s="10">
        <v>43015</v>
      </c>
      <c r="H154" s="8" t="s">
        <v>72</v>
      </c>
      <c r="I154" s="8">
        <v>888</v>
      </c>
      <c r="J154" s="8">
        <v>0</v>
      </c>
      <c r="K154" s="8">
        <v>888</v>
      </c>
      <c r="L154" s="8">
        <f t="shared" si="9"/>
        <v>-11</v>
      </c>
      <c r="M154" s="11">
        <f t="shared" si="10"/>
        <v>-9768</v>
      </c>
      <c r="N154" s="1"/>
      <c r="O154" s="4"/>
    </row>
    <row r="155" spans="1:15" ht="12.75">
      <c r="A155" s="8" t="s">
        <v>52</v>
      </c>
      <c r="B155" s="8">
        <v>1312</v>
      </c>
      <c r="C155" s="9">
        <v>42956</v>
      </c>
      <c r="D155" s="8" t="str">
        <f>"8201062655"</f>
        <v>8201062655</v>
      </c>
      <c r="E155" s="9">
        <v>42909</v>
      </c>
      <c r="F155" s="9">
        <v>42957</v>
      </c>
      <c r="G155" s="10">
        <v>42969</v>
      </c>
      <c r="H155" s="8" t="s">
        <v>72</v>
      </c>
      <c r="I155" s="11">
        <v>1961.28</v>
      </c>
      <c r="J155" s="8">
        <v>353.67</v>
      </c>
      <c r="K155" s="11">
        <v>1607.61</v>
      </c>
      <c r="L155" s="8">
        <f t="shared" si="9"/>
        <v>-12</v>
      </c>
      <c r="M155" s="11">
        <f t="shared" si="10"/>
        <v>-19291.32</v>
      </c>
      <c r="N155" s="1"/>
      <c r="O155" s="4"/>
    </row>
    <row r="156" spans="1:15" ht="12.75">
      <c r="A156" s="8" t="s">
        <v>166</v>
      </c>
      <c r="B156" s="8">
        <v>1332</v>
      </c>
      <c r="C156" s="9">
        <v>42956</v>
      </c>
      <c r="D156" s="8" t="s">
        <v>53</v>
      </c>
      <c r="E156" s="9">
        <v>42916</v>
      </c>
      <c r="F156" s="9">
        <v>42957</v>
      </c>
      <c r="G156" s="10">
        <v>42970</v>
      </c>
      <c r="H156" s="8" t="s">
        <v>70</v>
      </c>
      <c r="I156" s="8">
        <v>572.79</v>
      </c>
      <c r="J156" s="8">
        <v>103.29</v>
      </c>
      <c r="K156" s="8">
        <v>469.5</v>
      </c>
      <c r="L156" s="8">
        <f t="shared" si="9"/>
        <v>-13</v>
      </c>
      <c r="M156" s="11">
        <f t="shared" si="10"/>
        <v>-6103.5</v>
      </c>
      <c r="N156" s="1"/>
      <c r="O156" s="4"/>
    </row>
    <row r="157" spans="1:15" ht="12.75">
      <c r="A157" s="8" t="s">
        <v>54</v>
      </c>
      <c r="B157" s="8">
        <v>1281</v>
      </c>
      <c r="C157" s="9">
        <v>42950</v>
      </c>
      <c r="D157" s="8" t="s">
        <v>55</v>
      </c>
      <c r="E157" s="9">
        <v>42905</v>
      </c>
      <c r="F157" s="9">
        <v>42952</v>
      </c>
      <c r="G157" s="10">
        <v>42966</v>
      </c>
      <c r="H157" s="8" t="s">
        <v>72</v>
      </c>
      <c r="I157" s="11">
        <v>1522.56</v>
      </c>
      <c r="J157" s="8">
        <v>0</v>
      </c>
      <c r="K157" s="11">
        <v>1522.56</v>
      </c>
      <c r="L157" s="8">
        <f t="shared" si="9"/>
        <v>-14</v>
      </c>
      <c r="M157" s="11">
        <f t="shared" si="10"/>
        <v>-21315.84</v>
      </c>
      <c r="N157" s="1"/>
      <c r="O157" s="4"/>
    </row>
    <row r="158" spans="1:15" ht="12.75">
      <c r="A158" s="8" t="s">
        <v>165</v>
      </c>
      <c r="B158" s="8">
        <v>1363</v>
      </c>
      <c r="C158" s="9">
        <v>42976</v>
      </c>
      <c r="D158" s="8" t="str">
        <f>"0000012374"</f>
        <v>0000012374</v>
      </c>
      <c r="E158" s="9">
        <v>42930</v>
      </c>
      <c r="F158" s="9">
        <v>42976</v>
      </c>
      <c r="G158" s="10">
        <v>42990</v>
      </c>
      <c r="H158" s="8" t="s">
        <v>72</v>
      </c>
      <c r="I158" s="8">
        <v>66.44</v>
      </c>
      <c r="J158" s="8">
        <v>11.98</v>
      </c>
      <c r="K158" s="8">
        <v>54.46</v>
      </c>
      <c r="L158" s="8">
        <f t="shared" si="9"/>
        <v>-14</v>
      </c>
      <c r="M158" s="11">
        <f t="shared" si="10"/>
        <v>-762.44</v>
      </c>
      <c r="N158" s="1"/>
      <c r="O158" s="4"/>
    </row>
    <row r="159" spans="1:15" ht="12.75">
      <c r="A159" s="8" t="s">
        <v>165</v>
      </c>
      <c r="B159" s="8">
        <v>1364</v>
      </c>
      <c r="C159" s="9">
        <v>42976</v>
      </c>
      <c r="D159" s="8" t="str">
        <f>"0000012373"</f>
        <v>0000012373</v>
      </c>
      <c r="E159" s="9">
        <v>42930</v>
      </c>
      <c r="F159" s="9">
        <v>42976</v>
      </c>
      <c r="G159" s="10">
        <v>42990</v>
      </c>
      <c r="H159" s="8" t="s">
        <v>72</v>
      </c>
      <c r="I159" s="8">
        <v>60.87</v>
      </c>
      <c r="J159" s="8">
        <v>10.98</v>
      </c>
      <c r="K159" s="8">
        <v>49.89</v>
      </c>
      <c r="L159" s="8">
        <f t="shared" si="9"/>
        <v>-14</v>
      </c>
      <c r="M159" s="11">
        <f t="shared" si="10"/>
        <v>-698.46</v>
      </c>
      <c r="N159" s="1"/>
      <c r="O159" s="4"/>
    </row>
    <row r="160" spans="1:15" ht="12.75">
      <c r="A160" s="8" t="s">
        <v>76</v>
      </c>
      <c r="B160" s="8">
        <v>1569</v>
      </c>
      <c r="C160" s="9">
        <v>43004</v>
      </c>
      <c r="D160" s="8" t="str">
        <f>"41703278787"</f>
        <v>41703278787</v>
      </c>
      <c r="E160" s="9">
        <v>42998</v>
      </c>
      <c r="F160" s="9">
        <v>43004</v>
      </c>
      <c r="G160" s="10">
        <v>43018</v>
      </c>
      <c r="H160" s="8" t="s">
        <v>72</v>
      </c>
      <c r="I160" s="8">
        <v>49.5</v>
      </c>
      <c r="J160" s="8">
        <v>8.38</v>
      </c>
      <c r="K160" s="8">
        <v>41.12</v>
      </c>
      <c r="L160" s="8">
        <f t="shared" si="9"/>
        <v>-14</v>
      </c>
      <c r="M160" s="11">
        <f t="shared" si="10"/>
        <v>-575.68</v>
      </c>
      <c r="N160" s="1"/>
      <c r="O160" s="4"/>
    </row>
    <row r="161" spans="1:15" ht="12.75">
      <c r="A161" s="8" t="s">
        <v>76</v>
      </c>
      <c r="B161" s="8">
        <v>1570</v>
      </c>
      <c r="C161" s="9">
        <v>43004</v>
      </c>
      <c r="D161" s="8" t="str">
        <f>"41703278788"</f>
        <v>41703278788</v>
      </c>
      <c r="E161" s="9">
        <v>42998</v>
      </c>
      <c r="F161" s="9">
        <v>43004</v>
      </c>
      <c r="G161" s="10">
        <v>43018</v>
      </c>
      <c r="H161" s="8" t="s">
        <v>72</v>
      </c>
      <c r="I161" s="8">
        <v>48.54</v>
      </c>
      <c r="J161" s="8">
        <v>8.75</v>
      </c>
      <c r="K161" s="8">
        <v>39.79</v>
      </c>
      <c r="L161" s="8">
        <f t="shared" si="9"/>
        <v>-14</v>
      </c>
      <c r="M161" s="11">
        <f t="shared" si="10"/>
        <v>-557.06</v>
      </c>
      <c r="N161" s="1"/>
      <c r="O161" s="4"/>
    </row>
    <row r="162" spans="1:15" ht="12.75">
      <c r="A162" s="8" t="s">
        <v>76</v>
      </c>
      <c r="B162" s="8">
        <v>1571</v>
      </c>
      <c r="C162" s="9">
        <v>43004</v>
      </c>
      <c r="D162" s="8" t="str">
        <f>"41703278789"</f>
        <v>41703278789</v>
      </c>
      <c r="E162" s="9">
        <v>42998</v>
      </c>
      <c r="F162" s="9">
        <v>43004</v>
      </c>
      <c r="G162" s="10">
        <v>43018</v>
      </c>
      <c r="H162" s="8" t="s">
        <v>72</v>
      </c>
      <c r="I162" s="8">
        <v>42.16</v>
      </c>
      <c r="J162" s="8">
        <v>7.6</v>
      </c>
      <c r="K162" s="8">
        <v>34.56</v>
      </c>
      <c r="L162" s="8">
        <f t="shared" si="9"/>
        <v>-14</v>
      </c>
      <c r="M162" s="11">
        <f t="shared" si="10"/>
        <v>-483.84000000000003</v>
      </c>
      <c r="N162" s="1"/>
      <c r="O162" s="4"/>
    </row>
    <row r="163" spans="1:15" ht="12.75">
      <c r="A163" s="8" t="s">
        <v>85</v>
      </c>
      <c r="B163" s="8">
        <v>1356</v>
      </c>
      <c r="C163" s="9">
        <v>42957</v>
      </c>
      <c r="D163" s="8" t="s">
        <v>86</v>
      </c>
      <c r="E163" s="9">
        <v>42934</v>
      </c>
      <c r="F163" s="9">
        <v>42957</v>
      </c>
      <c r="G163" s="10">
        <v>42972</v>
      </c>
      <c r="H163" s="8" t="s">
        <v>70</v>
      </c>
      <c r="I163" s="11">
        <v>18700.92</v>
      </c>
      <c r="J163" s="11">
        <v>1700.08</v>
      </c>
      <c r="K163" s="11">
        <v>17000.84</v>
      </c>
      <c r="L163" s="8">
        <f t="shared" si="9"/>
        <v>-15</v>
      </c>
      <c r="M163" s="11">
        <f t="shared" si="10"/>
        <v>-255012.6</v>
      </c>
      <c r="N163" s="1"/>
      <c r="O163" s="4"/>
    </row>
    <row r="164" spans="1:15" ht="12.75">
      <c r="A164" s="8" t="s">
        <v>87</v>
      </c>
      <c r="B164" s="8">
        <v>1557</v>
      </c>
      <c r="C164" s="9">
        <v>43003</v>
      </c>
      <c r="D164" s="8" t="str">
        <f>"1216014588"</f>
        <v>1216014588</v>
      </c>
      <c r="E164" s="9">
        <v>42990</v>
      </c>
      <c r="F164" s="9">
        <v>43004</v>
      </c>
      <c r="G164" s="10">
        <v>43020</v>
      </c>
      <c r="H164" s="8" t="s">
        <v>72</v>
      </c>
      <c r="I164" s="8">
        <v>438.85</v>
      </c>
      <c r="J164" s="8">
        <v>76.25</v>
      </c>
      <c r="K164" s="8">
        <v>362.6</v>
      </c>
      <c r="L164" s="8">
        <f aca="true" t="shared" si="11" ref="L164:L200">+F164-G164</f>
        <v>-16</v>
      </c>
      <c r="M164" s="11">
        <f t="shared" si="10"/>
        <v>-5801.6</v>
      </c>
      <c r="N164" s="1"/>
      <c r="O164" s="4"/>
    </row>
    <row r="165" spans="1:15" ht="12.75">
      <c r="A165" s="8" t="s">
        <v>88</v>
      </c>
      <c r="B165" s="8">
        <v>1150</v>
      </c>
      <c r="C165" s="9">
        <v>42944</v>
      </c>
      <c r="D165" s="8" t="s">
        <v>89</v>
      </c>
      <c r="E165" s="9">
        <v>42916</v>
      </c>
      <c r="F165" s="9">
        <v>42944</v>
      </c>
      <c r="G165" s="10">
        <v>42960</v>
      </c>
      <c r="H165" s="8" t="s">
        <v>70</v>
      </c>
      <c r="I165" s="11">
        <v>1040</v>
      </c>
      <c r="J165" s="8">
        <v>0</v>
      </c>
      <c r="K165" s="11">
        <v>1040</v>
      </c>
      <c r="L165" s="8">
        <f t="shared" si="11"/>
        <v>-16</v>
      </c>
      <c r="M165" s="11">
        <f t="shared" si="10"/>
        <v>-16640</v>
      </c>
      <c r="N165" s="1"/>
      <c r="O165" s="4"/>
    </row>
    <row r="166" spans="1:15" ht="12.75">
      <c r="A166" s="8" t="s">
        <v>31</v>
      </c>
      <c r="B166" s="8">
        <v>1688</v>
      </c>
      <c r="C166" s="9">
        <v>43008</v>
      </c>
      <c r="D166" s="8" t="s">
        <v>90</v>
      </c>
      <c r="E166" s="9">
        <v>42947</v>
      </c>
      <c r="F166" s="9">
        <v>43008</v>
      </c>
      <c r="G166" s="10">
        <v>43024</v>
      </c>
      <c r="H166" s="8" t="s">
        <v>72</v>
      </c>
      <c r="I166" s="8">
        <v>809.95</v>
      </c>
      <c r="J166" s="8">
        <v>31.15</v>
      </c>
      <c r="K166" s="8">
        <v>778.8</v>
      </c>
      <c r="L166" s="8">
        <f t="shared" si="11"/>
        <v>-16</v>
      </c>
      <c r="M166" s="11">
        <f t="shared" si="10"/>
        <v>-12460.8</v>
      </c>
      <c r="N166" s="1"/>
      <c r="O166" s="4"/>
    </row>
    <row r="167" spans="1:15" ht="12.75">
      <c r="A167" s="8" t="s">
        <v>1</v>
      </c>
      <c r="B167" s="8">
        <v>1496</v>
      </c>
      <c r="C167" s="9">
        <v>42977</v>
      </c>
      <c r="D167" s="8" t="str">
        <f>"1"</f>
        <v>1</v>
      </c>
      <c r="E167" s="9">
        <v>42940</v>
      </c>
      <c r="F167" s="9">
        <v>42977</v>
      </c>
      <c r="G167" s="10">
        <v>42994</v>
      </c>
      <c r="H167" s="8" t="s">
        <v>72</v>
      </c>
      <c r="I167" s="11">
        <v>1830</v>
      </c>
      <c r="J167" s="8">
        <v>330</v>
      </c>
      <c r="K167" s="11">
        <v>1500</v>
      </c>
      <c r="L167" s="8">
        <f t="shared" si="11"/>
        <v>-17</v>
      </c>
      <c r="M167" s="11">
        <f t="shared" si="10"/>
        <v>-25500</v>
      </c>
      <c r="N167" s="1"/>
      <c r="O167" s="4"/>
    </row>
    <row r="168" spans="1:15" ht="12.75">
      <c r="A168" s="8" t="s">
        <v>91</v>
      </c>
      <c r="B168" s="8">
        <v>1498</v>
      </c>
      <c r="C168" s="9">
        <v>42977</v>
      </c>
      <c r="D168" s="8" t="s">
        <v>92</v>
      </c>
      <c r="E168" s="9">
        <v>42458</v>
      </c>
      <c r="F168" s="9">
        <v>42977</v>
      </c>
      <c r="G168" s="10">
        <v>42994</v>
      </c>
      <c r="H168" s="8" t="s">
        <v>72</v>
      </c>
      <c r="I168" s="8">
        <v>260.01</v>
      </c>
      <c r="J168" s="8">
        <v>46.89</v>
      </c>
      <c r="K168" s="8">
        <v>213.12</v>
      </c>
      <c r="L168" s="8">
        <f t="shared" si="11"/>
        <v>-17</v>
      </c>
      <c r="M168" s="11">
        <f t="shared" si="10"/>
        <v>-3623.04</v>
      </c>
      <c r="N168" s="1"/>
      <c r="O168" s="4"/>
    </row>
    <row r="169" spans="1:15" ht="12.75">
      <c r="A169" s="8" t="s">
        <v>73</v>
      </c>
      <c r="B169" s="8">
        <v>1338</v>
      </c>
      <c r="C169" s="9">
        <v>42956</v>
      </c>
      <c r="D169" s="8" t="str">
        <f>"09830"</f>
        <v>09830</v>
      </c>
      <c r="E169" s="9">
        <v>42943</v>
      </c>
      <c r="F169" s="9">
        <v>42957</v>
      </c>
      <c r="G169" s="10">
        <v>42974</v>
      </c>
      <c r="H169" s="8" t="s">
        <v>72</v>
      </c>
      <c r="I169" s="8">
        <v>234.24</v>
      </c>
      <c r="J169" s="8">
        <v>42.24</v>
      </c>
      <c r="K169" s="8">
        <v>192</v>
      </c>
      <c r="L169" s="8">
        <f t="shared" si="11"/>
        <v>-17</v>
      </c>
      <c r="M169" s="11">
        <f t="shared" si="10"/>
        <v>-3264</v>
      </c>
      <c r="N169" s="1"/>
      <c r="O169" s="4"/>
    </row>
    <row r="170" spans="1:15" ht="12.75">
      <c r="A170" s="8" t="s">
        <v>73</v>
      </c>
      <c r="B170" s="8">
        <v>1358</v>
      </c>
      <c r="C170" s="9">
        <v>42957</v>
      </c>
      <c r="D170" s="8" t="str">
        <f>"09811"</f>
        <v>09811</v>
      </c>
      <c r="E170" s="9">
        <v>42943</v>
      </c>
      <c r="F170" s="9">
        <v>42957</v>
      </c>
      <c r="G170" s="10">
        <v>42974</v>
      </c>
      <c r="H170" s="8" t="s">
        <v>72</v>
      </c>
      <c r="I170" s="8">
        <v>364.17</v>
      </c>
      <c r="J170" s="8">
        <v>65.67</v>
      </c>
      <c r="K170" s="8">
        <v>298.5</v>
      </c>
      <c r="L170" s="8">
        <f t="shared" si="11"/>
        <v>-17</v>
      </c>
      <c r="M170" s="11">
        <f t="shared" si="10"/>
        <v>-5074.5</v>
      </c>
      <c r="N170" s="1"/>
      <c r="O170" s="4"/>
    </row>
    <row r="171" spans="1:15" ht="12.75">
      <c r="A171" s="8" t="s">
        <v>4</v>
      </c>
      <c r="B171" s="8">
        <v>1573</v>
      </c>
      <c r="C171" s="9">
        <v>43004</v>
      </c>
      <c r="D171" s="8" t="str">
        <f>"8017171656"</f>
        <v>8017171656</v>
      </c>
      <c r="E171" s="9">
        <v>42991</v>
      </c>
      <c r="F171" s="9">
        <v>43004</v>
      </c>
      <c r="G171" s="10">
        <v>43021</v>
      </c>
      <c r="H171" s="8" t="s">
        <v>70</v>
      </c>
      <c r="I171" s="8">
        <v>6.84</v>
      </c>
      <c r="J171" s="8">
        <v>6.84</v>
      </c>
      <c r="K171" s="8">
        <v>0</v>
      </c>
      <c r="L171" s="8">
        <f t="shared" si="11"/>
        <v>-17</v>
      </c>
      <c r="M171" s="11">
        <f t="shared" si="10"/>
        <v>0</v>
      </c>
      <c r="N171" s="1"/>
      <c r="O171" s="4"/>
    </row>
    <row r="172" spans="1:15" ht="12.75">
      <c r="A172" s="8" t="s">
        <v>4</v>
      </c>
      <c r="B172" s="8">
        <v>1572</v>
      </c>
      <c r="C172" s="9">
        <v>43004</v>
      </c>
      <c r="D172" s="8" t="str">
        <f>"8017172466"</f>
        <v>8017172466</v>
      </c>
      <c r="E172" s="9">
        <v>42992</v>
      </c>
      <c r="F172" s="9">
        <v>43004</v>
      </c>
      <c r="G172" s="10">
        <v>43022</v>
      </c>
      <c r="H172" s="8" t="s">
        <v>70</v>
      </c>
      <c r="I172" s="8">
        <v>458.95</v>
      </c>
      <c r="J172" s="8">
        <v>458.95</v>
      </c>
      <c r="K172" s="8">
        <v>0</v>
      </c>
      <c r="L172" s="8">
        <f t="shared" si="11"/>
        <v>-18</v>
      </c>
      <c r="M172" s="11">
        <f t="shared" si="10"/>
        <v>0</v>
      </c>
      <c r="N172" s="1"/>
      <c r="O172" s="4"/>
    </row>
    <row r="173" spans="1:15" ht="12.75">
      <c r="A173" s="8" t="s">
        <v>93</v>
      </c>
      <c r="B173" s="8">
        <v>1693</v>
      </c>
      <c r="C173" s="9">
        <v>43008</v>
      </c>
      <c r="D173" s="8" t="str">
        <f>"10"</f>
        <v>10</v>
      </c>
      <c r="E173" s="9">
        <v>42996</v>
      </c>
      <c r="F173" s="9">
        <v>43008</v>
      </c>
      <c r="G173" s="10">
        <v>43026</v>
      </c>
      <c r="H173" s="8" t="s">
        <v>72</v>
      </c>
      <c r="I173" s="8">
        <v>644.16</v>
      </c>
      <c r="J173" s="8">
        <v>116.16</v>
      </c>
      <c r="K173" s="8">
        <v>528</v>
      </c>
      <c r="L173" s="8">
        <f t="shared" si="11"/>
        <v>-18</v>
      </c>
      <c r="M173" s="11">
        <f t="shared" si="10"/>
        <v>-9504</v>
      </c>
      <c r="N173" s="1"/>
      <c r="O173" s="4"/>
    </row>
    <row r="174" spans="1:15" ht="12.75">
      <c r="A174" s="8" t="s">
        <v>93</v>
      </c>
      <c r="B174" s="8">
        <v>1692</v>
      </c>
      <c r="C174" s="9">
        <v>43008</v>
      </c>
      <c r="D174" s="8" t="str">
        <f>"11"</f>
        <v>11</v>
      </c>
      <c r="E174" s="9">
        <v>42996</v>
      </c>
      <c r="F174" s="9">
        <v>43008</v>
      </c>
      <c r="G174" s="10">
        <v>43026</v>
      </c>
      <c r="H174" s="8" t="s">
        <v>72</v>
      </c>
      <c r="I174" s="8">
        <v>317.2</v>
      </c>
      <c r="J174" s="8">
        <v>57.2</v>
      </c>
      <c r="K174" s="8">
        <v>260</v>
      </c>
      <c r="L174" s="8">
        <f t="shared" si="11"/>
        <v>-18</v>
      </c>
      <c r="M174" s="11">
        <f aca="true" t="shared" si="12" ref="M174:M205">+K174*L174</f>
        <v>-4680</v>
      </c>
      <c r="N174" s="1"/>
      <c r="O174" s="4"/>
    </row>
    <row r="175" spans="1:15" ht="12.75">
      <c r="A175" s="8" t="s">
        <v>7</v>
      </c>
      <c r="B175" s="8">
        <v>1069</v>
      </c>
      <c r="C175" s="9">
        <v>42934</v>
      </c>
      <c r="D175" s="8" t="s">
        <v>8</v>
      </c>
      <c r="E175" s="9">
        <v>42908</v>
      </c>
      <c r="F175" s="9">
        <v>42934</v>
      </c>
      <c r="G175" s="10">
        <v>42953</v>
      </c>
      <c r="H175" s="8" t="s">
        <v>72</v>
      </c>
      <c r="I175" s="11">
        <v>13619.34</v>
      </c>
      <c r="J175" s="11">
        <v>2455.95</v>
      </c>
      <c r="K175" s="11">
        <v>11163.39</v>
      </c>
      <c r="L175" s="8">
        <f t="shared" si="11"/>
        <v>-19</v>
      </c>
      <c r="M175" s="11">
        <f t="shared" si="12"/>
        <v>-212104.40999999997</v>
      </c>
      <c r="N175" s="1"/>
      <c r="O175" s="4"/>
    </row>
    <row r="176" spans="1:15" ht="12.75">
      <c r="A176" s="8" t="s">
        <v>2</v>
      </c>
      <c r="B176" s="8">
        <v>1314</v>
      </c>
      <c r="C176" s="9">
        <v>42956</v>
      </c>
      <c r="D176" s="8" t="str">
        <f>"17072"</f>
        <v>17072</v>
      </c>
      <c r="E176" s="9">
        <v>42916</v>
      </c>
      <c r="F176" s="9">
        <v>42957</v>
      </c>
      <c r="G176" s="10">
        <v>42976</v>
      </c>
      <c r="H176" s="8" t="s">
        <v>72</v>
      </c>
      <c r="I176" s="11">
        <v>2465.66</v>
      </c>
      <c r="J176" s="8">
        <v>444.63</v>
      </c>
      <c r="K176" s="11">
        <v>2021.03</v>
      </c>
      <c r="L176" s="8">
        <f t="shared" si="11"/>
        <v>-19</v>
      </c>
      <c r="M176" s="11">
        <f t="shared" si="12"/>
        <v>-38399.57</v>
      </c>
      <c r="N176" s="1"/>
      <c r="O176" s="4"/>
    </row>
    <row r="177" spans="1:15" ht="12.75">
      <c r="A177" s="8" t="s">
        <v>2</v>
      </c>
      <c r="B177" s="8">
        <v>1554</v>
      </c>
      <c r="C177" s="9">
        <v>43003</v>
      </c>
      <c r="D177" s="8" t="str">
        <f>"17088"</f>
        <v>17088</v>
      </c>
      <c r="E177" s="9">
        <v>42964</v>
      </c>
      <c r="F177" s="9">
        <v>43004</v>
      </c>
      <c r="G177" s="10">
        <v>43024</v>
      </c>
      <c r="H177" s="8" t="s">
        <v>72</v>
      </c>
      <c r="I177" s="11">
        <v>12335.82</v>
      </c>
      <c r="J177" s="11">
        <v>2224.49</v>
      </c>
      <c r="K177" s="11">
        <v>10111.33</v>
      </c>
      <c r="L177" s="8">
        <f t="shared" si="11"/>
        <v>-20</v>
      </c>
      <c r="M177" s="11">
        <f t="shared" si="12"/>
        <v>-202226.6</v>
      </c>
      <c r="N177" s="1"/>
      <c r="O177" s="4"/>
    </row>
    <row r="178" spans="1:15" ht="12.75">
      <c r="A178" s="8" t="s">
        <v>2</v>
      </c>
      <c r="B178" s="8">
        <v>1555</v>
      </c>
      <c r="C178" s="9">
        <v>43003</v>
      </c>
      <c r="D178" s="8" t="str">
        <f>"17088"</f>
        <v>17088</v>
      </c>
      <c r="E178" s="9">
        <v>42964</v>
      </c>
      <c r="F178" s="9">
        <v>43004</v>
      </c>
      <c r="G178" s="10">
        <v>43024</v>
      </c>
      <c r="H178" s="8" t="s">
        <v>72</v>
      </c>
      <c r="I178" s="11">
        <v>20593.1</v>
      </c>
      <c r="J178" s="11">
        <v>3713.51</v>
      </c>
      <c r="K178" s="11">
        <v>16879.59</v>
      </c>
      <c r="L178" s="8">
        <f t="shared" si="11"/>
        <v>-20</v>
      </c>
      <c r="M178" s="11">
        <f t="shared" si="12"/>
        <v>-337591.8</v>
      </c>
      <c r="N178" s="1"/>
      <c r="O178" s="4"/>
    </row>
    <row r="179" spans="1:15" ht="12.75">
      <c r="A179" s="8" t="s">
        <v>2</v>
      </c>
      <c r="B179" s="8">
        <v>1553</v>
      </c>
      <c r="C179" s="9">
        <v>43003</v>
      </c>
      <c r="D179" s="8" t="str">
        <f>"17088"</f>
        <v>17088</v>
      </c>
      <c r="E179" s="9">
        <v>42964</v>
      </c>
      <c r="F179" s="9">
        <v>43004</v>
      </c>
      <c r="G179" s="10">
        <v>43024</v>
      </c>
      <c r="H179" s="8" t="s">
        <v>72</v>
      </c>
      <c r="I179" s="11">
        <v>8926.18</v>
      </c>
      <c r="J179" s="11">
        <v>1609.64</v>
      </c>
      <c r="K179" s="11">
        <v>7316.54</v>
      </c>
      <c r="L179" s="8">
        <f t="shared" si="11"/>
        <v>-20</v>
      </c>
      <c r="M179" s="11">
        <f t="shared" si="12"/>
        <v>-146330.8</v>
      </c>
      <c r="N179" s="1"/>
      <c r="O179" s="4"/>
    </row>
    <row r="180" spans="1:15" ht="12.75">
      <c r="A180" s="8" t="s">
        <v>94</v>
      </c>
      <c r="B180" s="8">
        <v>1694</v>
      </c>
      <c r="C180" s="9">
        <v>43008</v>
      </c>
      <c r="D180" s="8" t="str">
        <f>"233"</f>
        <v>233</v>
      </c>
      <c r="E180" s="9">
        <v>42998</v>
      </c>
      <c r="F180" s="9">
        <v>43008</v>
      </c>
      <c r="G180" s="10">
        <v>43028</v>
      </c>
      <c r="H180" s="8" t="s">
        <v>72</v>
      </c>
      <c r="I180" s="8">
        <v>189.1</v>
      </c>
      <c r="J180" s="8">
        <v>34.1</v>
      </c>
      <c r="K180" s="8">
        <v>155</v>
      </c>
      <c r="L180" s="8">
        <f t="shared" si="11"/>
        <v>-20</v>
      </c>
      <c r="M180" s="11">
        <f t="shared" si="12"/>
        <v>-3100</v>
      </c>
      <c r="N180" s="1"/>
      <c r="O180" s="4"/>
    </row>
    <row r="181" spans="1:15" ht="12.75">
      <c r="A181" s="8" t="s">
        <v>171</v>
      </c>
      <c r="B181" s="8">
        <v>1353</v>
      </c>
      <c r="C181" s="9">
        <v>42956</v>
      </c>
      <c r="D181" s="8" t="str">
        <f>"0001123086"</f>
        <v>0001123086</v>
      </c>
      <c r="E181" s="9">
        <v>42947</v>
      </c>
      <c r="F181" s="9">
        <v>42957</v>
      </c>
      <c r="G181" s="10">
        <v>42978</v>
      </c>
      <c r="H181" s="8" t="s">
        <v>72</v>
      </c>
      <c r="I181" s="8">
        <v>163.2</v>
      </c>
      <c r="J181" s="8">
        <v>0</v>
      </c>
      <c r="K181" s="8">
        <v>163.2</v>
      </c>
      <c r="L181" s="8">
        <f t="shared" si="11"/>
        <v>-21</v>
      </c>
      <c r="M181" s="11">
        <f t="shared" si="12"/>
        <v>-3427.2</v>
      </c>
      <c r="N181" s="1"/>
      <c r="O181" s="4"/>
    </row>
    <row r="182" spans="1:15" ht="12.75">
      <c r="A182" s="8" t="s">
        <v>171</v>
      </c>
      <c r="B182" s="8">
        <v>1353</v>
      </c>
      <c r="C182" s="9">
        <v>42956</v>
      </c>
      <c r="D182" s="8" t="str">
        <f>"0001122738"</f>
        <v>0001122738</v>
      </c>
      <c r="E182" s="9">
        <v>42947</v>
      </c>
      <c r="F182" s="9">
        <v>42957</v>
      </c>
      <c r="G182" s="10">
        <v>42978</v>
      </c>
      <c r="H182" s="8" t="s">
        <v>72</v>
      </c>
      <c r="I182" s="8">
        <v>397.5</v>
      </c>
      <c r="J182" s="8">
        <v>0</v>
      </c>
      <c r="K182" s="8">
        <v>397.5</v>
      </c>
      <c r="L182" s="8">
        <f t="shared" si="11"/>
        <v>-21</v>
      </c>
      <c r="M182" s="11">
        <f t="shared" si="12"/>
        <v>-8347.5</v>
      </c>
      <c r="N182" s="1"/>
      <c r="O182" s="4"/>
    </row>
    <row r="183" spans="1:15" ht="12.75">
      <c r="A183" s="8" t="s">
        <v>18</v>
      </c>
      <c r="B183" s="8">
        <v>1361</v>
      </c>
      <c r="C183" s="9">
        <v>42957</v>
      </c>
      <c r="D183" s="8" t="s">
        <v>95</v>
      </c>
      <c r="E183" s="9">
        <v>42947</v>
      </c>
      <c r="F183" s="9">
        <v>42957</v>
      </c>
      <c r="G183" s="10">
        <v>42978</v>
      </c>
      <c r="H183" s="8" t="s">
        <v>72</v>
      </c>
      <c r="I183" s="11">
        <v>2088.03</v>
      </c>
      <c r="J183" s="8">
        <v>376.53</v>
      </c>
      <c r="K183" s="11">
        <v>1711.5</v>
      </c>
      <c r="L183" s="8">
        <f t="shared" si="11"/>
        <v>-21</v>
      </c>
      <c r="M183" s="11">
        <f t="shared" si="12"/>
        <v>-35941.5</v>
      </c>
      <c r="N183" s="1"/>
      <c r="O183" s="4"/>
    </row>
    <row r="184" spans="1:15" ht="12.75">
      <c r="A184" s="8" t="s">
        <v>96</v>
      </c>
      <c r="B184" s="8">
        <v>1327</v>
      </c>
      <c r="C184" s="9">
        <v>42956</v>
      </c>
      <c r="D184" s="8" t="s">
        <v>97</v>
      </c>
      <c r="E184" s="9">
        <v>42936</v>
      </c>
      <c r="F184" s="9">
        <v>42957</v>
      </c>
      <c r="G184" s="10">
        <v>42978</v>
      </c>
      <c r="H184" s="8" t="s">
        <v>72</v>
      </c>
      <c r="I184" s="11">
        <v>2270.57</v>
      </c>
      <c r="J184" s="8">
        <v>409.45</v>
      </c>
      <c r="K184" s="11">
        <v>1861.12</v>
      </c>
      <c r="L184" s="8">
        <f t="shared" si="11"/>
        <v>-21</v>
      </c>
      <c r="M184" s="11">
        <f t="shared" si="12"/>
        <v>-39083.52</v>
      </c>
      <c r="N184" s="1"/>
      <c r="O184" s="4"/>
    </row>
    <row r="185" spans="1:15" ht="12.75">
      <c r="A185" s="8" t="s">
        <v>31</v>
      </c>
      <c r="B185" s="8">
        <v>1319</v>
      </c>
      <c r="C185" s="9">
        <v>42956</v>
      </c>
      <c r="D185" s="8" t="s">
        <v>98</v>
      </c>
      <c r="E185" s="9">
        <v>42916</v>
      </c>
      <c r="F185" s="9">
        <v>42957</v>
      </c>
      <c r="G185" s="10">
        <v>42978</v>
      </c>
      <c r="H185" s="8" t="s">
        <v>72</v>
      </c>
      <c r="I185" s="11">
        <v>9185.59</v>
      </c>
      <c r="J185" s="8">
        <v>353.29</v>
      </c>
      <c r="K185" s="11">
        <v>8832.3</v>
      </c>
      <c r="L185" s="8">
        <f t="shared" si="11"/>
        <v>-21</v>
      </c>
      <c r="M185" s="11">
        <f t="shared" si="12"/>
        <v>-185478.3</v>
      </c>
      <c r="N185" s="1"/>
      <c r="O185" s="4"/>
    </row>
    <row r="186" spans="1:15" ht="12.75">
      <c r="A186" s="8" t="s">
        <v>99</v>
      </c>
      <c r="B186" s="8">
        <v>1325</v>
      </c>
      <c r="C186" s="9">
        <v>42956</v>
      </c>
      <c r="D186" s="8" t="s">
        <v>100</v>
      </c>
      <c r="E186" s="9">
        <v>42916</v>
      </c>
      <c r="F186" s="9">
        <v>42957</v>
      </c>
      <c r="G186" s="10">
        <v>42978</v>
      </c>
      <c r="H186" s="8" t="s">
        <v>72</v>
      </c>
      <c r="I186" s="8">
        <v>12.2</v>
      </c>
      <c r="J186" s="8">
        <v>2.2</v>
      </c>
      <c r="K186" s="8">
        <v>10</v>
      </c>
      <c r="L186" s="8">
        <f t="shared" si="11"/>
        <v>-21</v>
      </c>
      <c r="M186" s="11">
        <f t="shared" si="12"/>
        <v>-210</v>
      </c>
      <c r="N186" s="1"/>
      <c r="O186" s="4"/>
    </row>
    <row r="187" spans="1:15" ht="12.75">
      <c r="A187" s="8" t="s">
        <v>40</v>
      </c>
      <c r="B187" s="8">
        <v>1146</v>
      </c>
      <c r="C187" s="9">
        <v>42938</v>
      </c>
      <c r="D187" s="8" t="s">
        <v>101</v>
      </c>
      <c r="E187" s="9">
        <v>42886</v>
      </c>
      <c r="F187" s="9">
        <v>42938</v>
      </c>
      <c r="G187" s="10">
        <v>42961</v>
      </c>
      <c r="H187" s="8" t="s">
        <v>72</v>
      </c>
      <c r="I187" s="11">
        <v>6487.35</v>
      </c>
      <c r="J187" s="8">
        <v>308.92</v>
      </c>
      <c r="K187" s="11">
        <v>6178.43</v>
      </c>
      <c r="L187" s="8">
        <f t="shared" si="11"/>
        <v>-23</v>
      </c>
      <c r="M187" s="11">
        <f t="shared" si="12"/>
        <v>-142103.89</v>
      </c>
      <c r="N187" s="1"/>
      <c r="O187" s="4"/>
    </row>
    <row r="188" spans="1:15" ht="12.75">
      <c r="A188" s="8" t="s">
        <v>171</v>
      </c>
      <c r="B188" s="8">
        <v>1289</v>
      </c>
      <c r="C188" s="9">
        <v>42950</v>
      </c>
      <c r="D188" s="8" t="str">
        <f>"0002126202"</f>
        <v>0002126202</v>
      </c>
      <c r="E188" s="9">
        <v>42916</v>
      </c>
      <c r="F188" s="9">
        <v>42952</v>
      </c>
      <c r="G188" s="10">
        <v>42977</v>
      </c>
      <c r="H188" s="8" t="s">
        <v>72</v>
      </c>
      <c r="I188" s="8">
        <v>505.08</v>
      </c>
      <c r="J188" s="8">
        <v>91.08</v>
      </c>
      <c r="K188" s="8">
        <v>414</v>
      </c>
      <c r="L188" s="8">
        <f t="shared" si="11"/>
        <v>-25</v>
      </c>
      <c r="M188" s="11">
        <f t="shared" si="12"/>
        <v>-10350</v>
      </c>
      <c r="N188" s="1"/>
      <c r="O188" s="4"/>
    </row>
    <row r="189" spans="1:15" ht="12.75">
      <c r="A189" s="8" t="s">
        <v>102</v>
      </c>
      <c r="B189" s="8">
        <v>1558</v>
      </c>
      <c r="C189" s="9">
        <v>43003</v>
      </c>
      <c r="D189" s="8" t="s">
        <v>103</v>
      </c>
      <c r="E189" s="9">
        <v>42968</v>
      </c>
      <c r="F189" s="9">
        <v>43004</v>
      </c>
      <c r="G189" s="10">
        <v>43029</v>
      </c>
      <c r="H189" s="8" t="s">
        <v>72</v>
      </c>
      <c r="I189" s="8">
        <v>732</v>
      </c>
      <c r="J189" s="8">
        <v>132</v>
      </c>
      <c r="K189" s="8">
        <v>600</v>
      </c>
      <c r="L189" s="8">
        <f t="shared" si="11"/>
        <v>-25</v>
      </c>
      <c r="M189" s="11">
        <f t="shared" si="12"/>
        <v>-15000</v>
      </c>
      <c r="N189" s="1"/>
      <c r="O189" s="4"/>
    </row>
    <row r="190" spans="1:15" ht="12.75">
      <c r="A190" s="8" t="s">
        <v>104</v>
      </c>
      <c r="B190" s="8">
        <v>1278</v>
      </c>
      <c r="C190" s="9">
        <v>42950</v>
      </c>
      <c r="D190" s="8" t="s">
        <v>105</v>
      </c>
      <c r="E190" s="9">
        <v>42923</v>
      </c>
      <c r="F190" s="9">
        <v>42952</v>
      </c>
      <c r="G190" s="10">
        <v>42978</v>
      </c>
      <c r="H190" s="8" t="s">
        <v>72</v>
      </c>
      <c r="I190" s="8">
        <v>450</v>
      </c>
      <c r="J190" s="8">
        <v>40.91</v>
      </c>
      <c r="K190" s="8">
        <v>409.09</v>
      </c>
      <c r="L190" s="8">
        <f t="shared" si="11"/>
        <v>-26</v>
      </c>
      <c r="M190" s="11">
        <f t="shared" si="12"/>
        <v>-10636.34</v>
      </c>
      <c r="N190" s="1"/>
      <c r="O190" s="4"/>
    </row>
    <row r="191" spans="1:15" ht="12.75">
      <c r="A191" s="8" t="s">
        <v>106</v>
      </c>
      <c r="B191" s="8">
        <v>1276</v>
      </c>
      <c r="C191" s="9">
        <v>42950</v>
      </c>
      <c r="D191" s="8" t="str">
        <f>"20170014"</f>
        <v>20170014</v>
      </c>
      <c r="E191" s="9">
        <v>42916</v>
      </c>
      <c r="F191" s="9">
        <v>42952</v>
      </c>
      <c r="G191" s="10">
        <v>42978</v>
      </c>
      <c r="H191" s="8" t="s">
        <v>72</v>
      </c>
      <c r="I191" s="11">
        <v>94187.5</v>
      </c>
      <c r="J191" s="11">
        <v>8562.5</v>
      </c>
      <c r="K191" s="11">
        <v>85625</v>
      </c>
      <c r="L191" s="8">
        <f t="shared" si="11"/>
        <v>-26</v>
      </c>
      <c r="M191" s="11">
        <f t="shared" si="12"/>
        <v>-2226250</v>
      </c>
      <c r="N191" s="1"/>
      <c r="O191" s="4"/>
    </row>
    <row r="192" spans="1:15" ht="12.75">
      <c r="A192" s="8" t="s">
        <v>4</v>
      </c>
      <c r="B192" s="8">
        <v>1354</v>
      </c>
      <c r="C192" s="9">
        <v>42956</v>
      </c>
      <c r="D192" s="8" t="str">
        <f>"8017150256"</f>
        <v>8017150256</v>
      </c>
      <c r="E192" s="9">
        <v>42954</v>
      </c>
      <c r="F192" s="9">
        <v>42957</v>
      </c>
      <c r="G192" s="10">
        <v>42984</v>
      </c>
      <c r="H192" s="8" t="s">
        <v>70</v>
      </c>
      <c r="I192" s="8">
        <v>10.8</v>
      </c>
      <c r="J192" s="8">
        <v>10.8</v>
      </c>
      <c r="K192" s="8">
        <v>0</v>
      </c>
      <c r="L192" s="8">
        <f t="shared" si="11"/>
        <v>-27</v>
      </c>
      <c r="M192" s="11">
        <f t="shared" si="12"/>
        <v>0</v>
      </c>
      <c r="N192" s="1"/>
      <c r="O192" s="4"/>
    </row>
    <row r="193" spans="1:15" ht="12.75">
      <c r="A193" s="8" t="s">
        <v>38</v>
      </c>
      <c r="B193" s="8">
        <v>1318</v>
      </c>
      <c r="C193" s="9">
        <v>42956</v>
      </c>
      <c r="D193" s="8" t="s">
        <v>107</v>
      </c>
      <c r="E193" s="9">
        <v>42925</v>
      </c>
      <c r="F193" s="9">
        <v>42957</v>
      </c>
      <c r="G193" s="10">
        <v>42987</v>
      </c>
      <c r="H193" s="8" t="s">
        <v>72</v>
      </c>
      <c r="I193" s="11">
        <v>1981.35</v>
      </c>
      <c r="J193" s="8">
        <v>94.35</v>
      </c>
      <c r="K193" s="11">
        <v>1887</v>
      </c>
      <c r="L193" s="8">
        <f t="shared" si="11"/>
        <v>-30</v>
      </c>
      <c r="M193" s="11">
        <f t="shared" si="12"/>
        <v>-56610</v>
      </c>
      <c r="N193" s="1"/>
      <c r="O193" s="4"/>
    </row>
    <row r="194" spans="1:15" ht="12.75">
      <c r="A194" s="8" t="s">
        <v>194</v>
      </c>
      <c r="B194" s="8">
        <v>1690</v>
      </c>
      <c r="C194" s="9">
        <v>43008</v>
      </c>
      <c r="D194" s="8" t="str">
        <f>"05000351"</f>
        <v>05000351</v>
      </c>
      <c r="E194" s="9">
        <v>42998</v>
      </c>
      <c r="F194" s="9">
        <v>43008</v>
      </c>
      <c r="G194" s="10">
        <v>43039</v>
      </c>
      <c r="H194" s="8" t="s">
        <v>72</v>
      </c>
      <c r="I194" s="8">
        <v>830.09</v>
      </c>
      <c r="J194" s="8">
        <v>149.69</v>
      </c>
      <c r="K194" s="8">
        <v>680.4</v>
      </c>
      <c r="L194" s="8">
        <f t="shared" si="11"/>
        <v>-31</v>
      </c>
      <c r="M194" s="11">
        <f t="shared" si="12"/>
        <v>-21092.399999999998</v>
      </c>
      <c r="N194" s="1"/>
      <c r="O194" s="4"/>
    </row>
    <row r="195" spans="1:15" ht="12.75">
      <c r="A195" s="8" t="s">
        <v>108</v>
      </c>
      <c r="B195" s="8">
        <v>1279</v>
      </c>
      <c r="C195" s="9">
        <v>42950</v>
      </c>
      <c r="D195" s="8" t="s">
        <v>109</v>
      </c>
      <c r="E195" s="9">
        <v>42916</v>
      </c>
      <c r="F195" s="9">
        <v>42952</v>
      </c>
      <c r="G195" s="10">
        <v>42983</v>
      </c>
      <c r="H195" s="8" t="s">
        <v>72</v>
      </c>
      <c r="I195" s="11">
        <v>4392.2</v>
      </c>
      <c r="J195" s="8">
        <v>399.29</v>
      </c>
      <c r="K195" s="11">
        <v>3992.91</v>
      </c>
      <c r="L195" s="8">
        <f t="shared" si="11"/>
        <v>-31</v>
      </c>
      <c r="M195" s="11">
        <f t="shared" si="12"/>
        <v>-123780.20999999999</v>
      </c>
      <c r="N195" s="1"/>
      <c r="O195" s="4"/>
    </row>
    <row r="196" spans="1:15" ht="12.75">
      <c r="A196" s="8" t="s">
        <v>195</v>
      </c>
      <c r="B196" s="8">
        <v>1373</v>
      </c>
      <c r="C196" s="9">
        <v>42976</v>
      </c>
      <c r="D196" s="8" t="str">
        <f>"6820170805000239"</f>
        <v>6820170805000239</v>
      </c>
      <c r="E196" s="9">
        <v>42948</v>
      </c>
      <c r="F196" s="9">
        <v>42976</v>
      </c>
      <c r="G196" s="10">
        <v>43008</v>
      </c>
      <c r="H196" s="8" t="s">
        <v>72</v>
      </c>
      <c r="I196" s="8">
        <v>67.73</v>
      </c>
      <c r="J196" s="8">
        <v>12.2</v>
      </c>
      <c r="K196" s="8">
        <v>55.53</v>
      </c>
      <c r="L196" s="8">
        <f t="shared" si="11"/>
        <v>-32</v>
      </c>
      <c r="M196" s="11">
        <f t="shared" si="12"/>
        <v>-1776.96</v>
      </c>
      <c r="N196" s="1"/>
      <c r="O196" s="4"/>
    </row>
    <row r="197" spans="1:15" ht="12.75">
      <c r="A197" s="8" t="s">
        <v>2</v>
      </c>
      <c r="B197" s="8">
        <v>1545</v>
      </c>
      <c r="C197" s="9">
        <v>43001</v>
      </c>
      <c r="D197" s="8" t="str">
        <f>"17098"</f>
        <v>17098</v>
      </c>
      <c r="E197" s="9">
        <v>42978</v>
      </c>
      <c r="F197" s="9">
        <v>43004</v>
      </c>
      <c r="G197" s="10">
        <v>43038</v>
      </c>
      <c r="H197" s="8" t="s">
        <v>72</v>
      </c>
      <c r="I197" s="11">
        <v>2428.7</v>
      </c>
      <c r="J197" s="8">
        <v>437.96</v>
      </c>
      <c r="K197" s="11">
        <v>1990.74</v>
      </c>
      <c r="L197" s="8">
        <f t="shared" si="11"/>
        <v>-34</v>
      </c>
      <c r="M197" s="11">
        <f t="shared" si="12"/>
        <v>-67685.16</v>
      </c>
      <c r="N197" s="1"/>
      <c r="O197" s="4"/>
    </row>
    <row r="198" spans="1:15" ht="12.75">
      <c r="A198" s="8" t="s">
        <v>195</v>
      </c>
      <c r="B198" s="8">
        <v>1538</v>
      </c>
      <c r="C198" s="9">
        <v>43001</v>
      </c>
      <c r="D198" s="14" t="s">
        <v>110</v>
      </c>
      <c r="E198" s="9">
        <v>42954</v>
      </c>
      <c r="F198" s="9">
        <v>43004</v>
      </c>
      <c r="G198" s="10">
        <v>43039</v>
      </c>
      <c r="H198" s="8" t="s">
        <v>72</v>
      </c>
      <c r="I198" s="8">
        <v>80.5</v>
      </c>
      <c r="J198" s="8">
        <v>13.42</v>
      </c>
      <c r="K198" s="8">
        <v>67.08</v>
      </c>
      <c r="L198" s="8">
        <f t="shared" si="11"/>
        <v>-35</v>
      </c>
      <c r="M198" s="11">
        <f t="shared" si="12"/>
        <v>-2347.7999999999997</v>
      </c>
      <c r="N198" s="1"/>
      <c r="O198" s="4"/>
    </row>
    <row r="199" spans="1:15" ht="12.75">
      <c r="A199" s="8" t="s">
        <v>195</v>
      </c>
      <c r="B199" s="8">
        <v>1539</v>
      </c>
      <c r="C199" s="9">
        <v>43001</v>
      </c>
      <c r="D199" s="14" t="s">
        <v>111</v>
      </c>
      <c r="E199" s="9">
        <v>42954</v>
      </c>
      <c r="F199" s="9">
        <v>43004</v>
      </c>
      <c r="G199" s="10">
        <v>43039</v>
      </c>
      <c r="H199" s="8" t="s">
        <v>72</v>
      </c>
      <c r="I199" s="8">
        <v>79.77</v>
      </c>
      <c r="J199" s="8">
        <v>13.81</v>
      </c>
      <c r="K199" s="8">
        <v>65.96</v>
      </c>
      <c r="L199" s="8">
        <f t="shared" si="11"/>
        <v>-35</v>
      </c>
      <c r="M199" s="11">
        <f t="shared" si="12"/>
        <v>-2308.6</v>
      </c>
      <c r="N199" s="1"/>
      <c r="O199" s="4"/>
    </row>
    <row r="200" spans="1:15" ht="12.75">
      <c r="A200" s="8" t="s">
        <v>195</v>
      </c>
      <c r="B200" s="8">
        <v>1538</v>
      </c>
      <c r="C200" s="9">
        <v>43001</v>
      </c>
      <c r="D200" s="14" t="s">
        <v>112</v>
      </c>
      <c r="E200" s="9">
        <v>42954</v>
      </c>
      <c r="F200" s="9">
        <v>43004</v>
      </c>
      <c r="G200" s="10">
        <v>43039</v>
      </c>
      <c r="H200" s="8" t="s">
        <v>72</v>
      </c>
      <c r="I200" s="8">
        <v>154.53</v>
      </c>
      <c r="J200" s="8">
        <v>25.59</v>
      </c>
      <c r="K200" s="8">
        <v>128.94</v>
      </c>
      <c r="L200" s="8">
        <f t="shared" si="11"/>
        <v>-35</v>
      </c>
      <c r="M200" s="11">
        <f t="shared" si="12"/>
        <v>-4512.9</v>
      </c>
      <c r="N200" s="1"/>
      <c r="O200" s="4"/>
    </row>
    <row r="201" spans="1:15" ht="12.75">
      <c r="A201" s="8" t="s">
        <v>195</v>
      </c>
      <c r="B201" s="8">
        <v>1541</v>
      </c>
      <c r="C201" s="9">
        <v>43001</v>
      </c>
      <c r="D201" s="14" t="s">
        <v>113</v>
      </c>
      <c r="E201" s="9">
        <v>42954</v>
      </c>
      <c r="F201" s="9">
        <v>43004</v>
      </c>
      <c r="G201" s="10">
        <v>43039</v>
      </c>
      <c r="H201" s="8" t="s">
        <v>72</v>
      </c>
      <c r="I201" s="8">
        <v>156.55</v>
      </c>
      <c r="J201" s="8">
        <v>26.92</v>
      </c>
      <c r="K201" s="8">
        <v>129.63</v>
      </c>
      <c r="L201" s="8">
        <f aca="true" t="shared" si="13" ref="L201:L236">+F201-G201</f>
        <v>-35</v>
      </c>
      <c r="M201" s="11">
        <f t="shared" si="12"/>
        <v>-4537.05</v>
      </c>
      <c r="N201" s="1"/>
      <c r="O201" s="4"/>
    </row>
    <row r="202" spans="1:15" ht="12.75">
      <c r="A202" s="8" t="s">
        <v>195</v>
      </c>
      <c r="B202" s="8">
        <v>1538</v>
      </c>
      <c r="C202" s="9">
        <v>43001</v>
      </c>
      <c r="D202" s="14" t="s">
        <v>114</v>
      </c>
      <c r="E202" s="9">
        <v>42954</v>
      </c>
      <c r="F202" s="9">
        <v>43004</v>
      </c>
      <c r="G202" s="10">
        <v>43039</v>
      </c>
      <c r="H202" s="8" t="s">
        <v>72</v>
      </c>
      <c r="I202" s="8">
        <v>189.67</v>
      </c>
      <c r="J202" s="8">
        <v>31.59</v>
      </c>
      <c r="K202" s="8">
        <v>158.08</v>
      </c>
      <c r="L202" s="8">
        <f t="shared" si="13"/>
        <v>-35</v>
      </c>
      <c r="M202" s="11">
        <f t="shared" si="12"/>
        <v>-5532.8</v>
      </c>
      <c r="N202" s="1"/>
      <c r="O202" s="4"/>
    </row>
    <row r="203" spans="1:15" ht="12.75">
      <c r="A203" s="8" t="s">
        <v>195</v>
      </c>
      <c r="B203" s="8">
        <v>1538</v>
      </c>
      <c r="C203" s="9">
        <v>43001</v>
      </c>
      <c r="D203" s="14" t="s">
        <v>115</v>
      </c>
      <c r="E203" s="9">
        <v>42954</v>
      </c>
      <c r="F203" s="9">
        <v>43004</v>
      </c>
      <c r="G203" s="10">
        <v>43039</v>
      </c>
      <c r="H203" s="8" t="s">
        <v>72</v>
      </c>
      <c r="I203" s="8">
        <v>84.12</v>
      </c>
      <c r="J203" s="8">
        <v>14.09</v>
      </c>
      <c r="K203" s="8">
        <v>70.03</v>
      </c>
      <c r="L203" s="8">
        <f t="shared" si="13"/>
        <v>-35</v>
      </c>
      <c r="M203" s="11">
        <f t="shared" si="12"/>
        <v>-2451.05</v>
      </c>
      <c r="N203" s="1"/>
      <c r="O203" s="4"/>
    </row>
    <row r="204" spans="1:15" ht="12.75">
      <c r="A204" s="8" t="s">
        <v>195</v>
      </c>
      <c r="B204" s="8">
        <v>1538</v>
      </c>
      <c r="C204" s="9">
        <v>43001</v>
      </c>
      <c r="D204" s="14" t="s">
        <v>116</v>
      </c>
      <c r="E204" s="9">
        <v>42954</v>
      </c>
      <c r="F204" s="9">
        <v>43004</v>
      </c>
      <c r="G204" s="10">
        <v>43039</v>
      </c>
      <c r="H204" s="8" t="s">
        <v>72</v>
      </c>
      <c r="I204" s="8">
        <v>118.43</v>
      </c>
      <c r="J204" s="8">
        <v>19.76</v>
      </c>
      <c r="K204" s="8">
        <v>98.67</v>
      </c>
      <c r="L204" s="8">
        <f t="shared" si="13"/>
        <v>-35</v>
      </c>
      <c r="M204" s="11">
        <f t="shared" si="12"/>
        <v>-3453.4500000000003</v>
      </c>
      <c r="N204" s="1"/>
      <c r="O204" s="4"/>
    </row>
    <row r="205" spans="1:15" ht="12.75">
      <c r="A205" s="8" t="s">
        <v>195</v>
      </c>
      <c r="B205" s="8">
        <v>1537</v>
      </c>
      <c r="C205" s="9">
        <v>43001</v>
      </c>
      <c r="D205" s="14" t="s">
        <v>117</v>
      </c>
      <c r="E205" s="9">
        <v>42954</v>
      </c>
      <c r="F205" s="9">
        <v>43004</v>
      </c>
      <c r="G205" s="10">
        <v>43039</v>
      </c>
      <c r="H205" s="8" t="s">
        <v>72</v>
      </c>
      <c r="I205" s="8">
        <v>304.26</v>
      </c>
      <c r="J205" s="8">
        <v>52.95</v>
      </c>
      <c r="K205" s="8">
        <v>251.31</v>
      </c>
      <c r="L205" s="8">
        <f t="shared" si="13"/>
        <v>-35</v>
      </c>
      <c r="M205" s="11">
        <f t="shared" si="12"/>
        <v>-8795.85</v>
      </c>
      <c r="N205" s="1"/>
      <c r="O205" s="4"/>
    </row>
    <row r="206" spans="1:15" ht="12.75">
      <c r="A206" s="8" t="s">
        <v>195</v>
      </c>
      <c r="B206" s="8">
        <v>1542</v>
      </c>
      <c r="C206" s="9">
        <v>43001</v>
      </c>
      <c r="D206" s="14" t="s">
        <v>118</v>
      </c>
      <c r="E206" s="9">
        <v>42954</v>
      </c>
      <c r="F206" s="9">
        <v>43004</v>
      </c>
      <c r="G206" s="10">
        <v>43039</v>
      </c>
      <c r="H206" s="8" t="s">
        <v>72</v>
      </c>
      <c r="I206" s="8">
        <v>141.23</v>
      </c>
      <c r="J206" s="8">
        <v>23.58</v>
      </c>
      <c r="K206" s="8">
        <v>117.65</v>
      </c>
      <c r="L206" s="8">
        <f t="shared" si="13"/>
        <v>-35</v>
      </c>
      <c r="M206" s="11">
        <f aca="true" t="shared" si="14" ref="M206:M237">+K206*L206</f>
        <v>-4117.75</v>
      </c>
      <c r="N206" s="1"/>
      <c r="O206" s="4"/>
    </row>
    <row r="207" spans="1:15" ht="12.75">
      <c r="A207" s="8" t="s">
        <v>195</v>
      </c>
      <c r="B207" s="8">
        <v>1538</v>
      </c>
      <c r="C207" s="9">
        <v>43001</v>
      </c>
      <c r="D207" s="14" t="s">
        <v>119</v>
      </c>
      <c r="E207" s="9">
        <v>42954</v>
      </c>
      <c r="F207" s="9">
        <v>43004</v>
      </c>
      <c r="G207" s="10">
        <v>43039</v>
      </c>
      <c r="H207" s="8" t="s">
        <v>72</v>
      </c>
      <c r="I207" s="8">
        <v>299.41</v>
      </c>
      <c r="J207" s="8">
        <v>48.4</v>
      </c>
      <c r="K207" s="8">
        <v>251.01</v>
      </c>
      <c r="L207" s="8">
        <f t="shared" si="13"/>
        <v>-35</v>
      </c>
      <c r="M207" s="11">
        <f t="shared" si="14"/>
        <v>-8785.35</v>
      </c>
      <c r="N207" s="1"/>
      <c r="O207" s="4"/>
    </row>
    <row r="208" spans="1:15" ht="12.75">
      <c r="A208" s="8" t="s">
        <v>195</v>
      </c>
      <c r="B208" s="8">
        <v>1538</v>
      </c>
      <c r="C208" s="9">
        <v>43001</v>
      </c>
      <c r="D208" s="14" t="s">
        <v>120</v>
      </c>
      <c r="E208" s="9">
        <v>42954</v>
      </c>
      <c r="F208" s="9">
        <v>43004</v>
      </c>
      <c r="G208" s="10">
        <v>43039</v>
      </c>
      <c r="H208" s="8" t="s">
        <v>72</v>
      </c>
      <c r="I208" s="8">
        <v>77.73</v>
      </c>
      <c r="J208" s="8">
        <v>13.48</v>
      </c>
      <c r="K208" s="8">
        <v>64.25</v>
      </c>
      <c r="L208" s="8">
        <f t="shared" si="13"/>
        <v>-35</v>
      </c>
      <c r="M208" s="11">
        <f t="shared" si="14"/>
        <v>-2248.75</v>
      </c>
      <c r="N208" s="1"/>
      <c r="O208" s="4"/>
    </row>
    <row r="209" spans="1:15" ht="12.75">
      <c r="A209" s="8" t="s">
        <v>195</v>
      </c>
      <c r="B209" s="8">
        <v>1537</v>
      </c>
      <c r="C209" s="9">
        <v>43001</v>
      </c>
      <c r="D209" s="14" t="s">
        <v>121</v>
      </c>
      <c r="E209" s="9">
        <v>42954</v>
      </c>
      <c r="F209" s="9">
        <v>43004</v>
      </c>
      <c r="G209" s="10">
        <v>43039</v>
      </c>
      <c r="H209" s="8" t="s">
        <v>72</v>
      </c>
      <c r="I209" s="8">
        <v>154.56</v>
      </c>
      <c r="J209" s="8">
        <v>26.57</v>
      </c>
      <c r="K209" s="8">
        <v>127.99</v>
      </c>
      <c r="L209" s="8">
        <f t="shared" si="13"/>
        <v>-35</v>
      </c>
      <c r="M209" s="11">
        <f t="shared" si="14"/>
        <v>-4479.65</v>
      </c>
      <c r="N209" s="1"/>
      <c r="O209" s="4"/>
    </row>
    <row r="210" spans="1:15" ht="12.75">
      <c r="A210" s="8" t="s">
        <v>195</v>
      </c>
      <c r="B210" s="8">
        <v>1540</v>
      </c>
      <c r="C210" s="9">
        <v>43001</v>
      </c>
      <c r="D210" s="14" t="s">
        <v>122</v>
      </c>
      <c r="E210" s="9">
        <v>42954</v>
      </c>
      <c r="F210" s="9">
        <v>43004</v>
      </c>
      <c r="G210" s="10">
        <v>43039</v>
      </c>
      <c r="H210" s="8" t="s">
        <v>72</v>
      </c>
      <c r="I210" s="8">
        <v>82.92</v>
      </c>
      <c r="J210" s="8">
        <v>13.98</v>
      </c>
      <c r="K210" s="8">
        <v>68.94</v>
      </c>
      <c r="L210" s="8">
        <f t="shared" si="13"/>
        <v>-35</v>
      </c>
      <c r="M210" s="11">
        <f t="shared" si="14"/>
        <v>-2412.9</v>
      </c>
      <c r="N210" s="1"/>
      <c r="O210" s="4"/>
    </row>
    <row r="211" spans="1:15" ht="12.75">
      <c r="A211" s="8" t="s">
        <v>171</v>
      </c>
      <c r="B211" s="8">
        <v>1563</v>
      </c>
      <c r="C211" s="9">
        <v>43003</v>
      </c>
      <c r="D211" s="8" t="str">
        <f>"0002131186"</f>
        <v>0002131186</v>
      </c>
      <c r="E211" s="9">
        <v>42978</v>
      </c>
      <c r="F211" s="9">
        <v>43004</v>
      </c>
      <c r="G211" s="10">
        <v>43039</v>
      </c>
      <c r="H211" s="8" t="s">
        <v>72</v>
      </c>
      <c r="I211" s="8">
        <v>76.86</v>
      </c>
      <c r="J211" s="8">
        <v>13.86</v>
      </c>
      <c r="K211" s="8">
        <v>63</v>
      </c>
      <c r="L211" s="8">
        <f t="shared" si="13"/>
        <v>-35</v>
      </c>
      <c r="M211" s="11">
        <f t="shared" si="14"/>
        <v>-2205</v>
      </c>
      <c r="N211" s="1"/>
      <c r="O211" s="4"/>
    </row>
    <row r="212" spans="1:15" ht="12.75">
      <c r="A212" s="8" t="s">
        <v>40</v>
      </c>
      <c r="B212" s="8">
        <v>1280</v>
      </c>
      <c r="C212" s="9">
        <v>42950</v>
      </c>
      <c r="D212" s="8" t="s">
        <v>123</v>
      </c>
      <c r="E212" s="9">
        <v>42916</v>
      </c>
      <c r="F212" s="9">
        <v>42952</v>
      </c>
      <c r="G212" s="10">
        <v>42987</v>
      </c>
      <c r="H212" s="8" t="s">
        <v>72</v>
      </c>
      <c r="I212" s="11">
        <v>5694.66</v>
      </c>
      <c r="J212" s="8">
        <v>271.17</v>
      </c>
      <c r="K212" s="11">
        <v>5423.49</v>
      </c>
      <c r="L212" s="8">
        <f t="shared" si="13"/>
        <v>-35</v>
      </c>
      <c r="M212" s="11">
        <f t="shared" si="14"/>
        <v>-189822.15</v>
      </c>
      <c r="N212" s="1"/>
      <c r="O212" s="4"/>
    </row>
    <row r="213" spans="1:15" ht="12.75">
      <c r="A213" s="8" t="s">
        <v>31</v>
      </c>
      <c r="B213" s="8">
        <v>1337</v>
      </c>
      <c r="C213" s="9">
        <v>42956</v>
      </c>
      <c r="D213" s="8" t="s">
        <v>124</v>
      </c>
      <c r="E213" s="9">
        <v>42916</v>
      </c>
      <c r="F213" s="9">
        <v>42957</v>
      </c>
      <c r="G213" s="10">
        <v>42993</v>
      </c>
      <c r="H213" s="8" t="s">
        <v>72</v>
      </c>
      <c r="I213" s="8">
        <v>821</v>
      </c>
      <c r="J213" s="8">
        <v>31.58</v>
      </c>
      <c r="K213" s="8">
        <v>789.42</v>
      </c>
      <c r="L213" s="8">
        <f t="shared" si="13"/>
        <v>-36</v>
      </c>
      <c r="M213" s="11">
        <f t="shared" si="14"/>
        <v>-28419.12</v>
      </c>
      <c r="N213" s="1"/>
      <c r="O213" s="4"/>
    </row>
    <row r="214" spans="1:15" ht="12.75">
      <c r="A214" s="8" t="s">
        <v>2</v>
      </c>
      <c r="B214" s="8">
        <v>1315</v>
      </c>
      <c r="C214" s="9">
        <v>42956</v>
      </c>
      <c r="D214" s="8" t="str">
        <f>"17075"</f>
        <v>17075</v>
      </c>
      <c r="E214" s="9">
        <v>42934</v>
      </c>
      <c r="F214" s="9">
        <v>42957</v>
      </c>
      <c r="G214" s="10">
        <v>42994</v>
      </c>
      <c r="H214" s="8" t="s">
        <v>72</v>
      </c>
      <c r="I214" s="8">
        <v>207.4</v>
      </c>
      <c r="J214" s="8">
        <v>37.4</v>
      </c>
      <c r="K214" s="8">
        <v>170</v>
      </c>
      <c r="L214" s="8">
        <f t="shared" si="13"/>
        <v>-37</v>
      </c>
      <c r="M214" s="11">
        <f t="shared" si="14"/>
        <v>-6290</v>
      </c>
      <c r="N214" s="1"/>
      <c r="O214" s="4"/>
    </row>
    <row r="215" spans="1:15" ht="12.75">
      <c r="A215" s="8" t="s">
        <v>38</v>
      </c>
      <c r="B215" s="8">
        <v>1560</v>
      </c>
      <c r="C215" s="9">
        <v>43003</v>
      </c>
      <c r="D215" s="8" t="s">
        <v>125</v>
      </c>
      <c r="E215" s="9">
        <v>42981</v>
      </c>
      <c r="F215" s="9">
        <v>43004</v>
      </c>
      <c r="G215" s="10">
        <v>43042</v>
      </c>
      <c r="H215" s="8" t="s">
        <v>72</v>
      </c>
      <c r="I215" s="8">
        <v>990.68</v>
      </c>
      <c r="J215" s="8">
        <v>47.18</v>
      </c>
      <c r="K215" s="8">
        <v>943.5</v>
      </c>
      <c r="L215" s="8">
        <f t="shared" si="13"/>
        <v>-38</v>
      </c>
      <c r="M215" s="11">
        <f t="shared" si="14"/>
        <v>-35853</v>
      </c>
      <c r="N215" s="1"/>
      <c r="O215" s="4"/>
    </row>
    <row r="216" spans="1:15" ht="12.75">
      <c r="A216" s="8" t="s">
        <v>126</v>
      </c>
      <c r="B216" s="8">
        <v>1331</v>
      </c>
      <c r="C216" s="9">
        <v>42956</v>
      </c>
      <c r="D216" s="8" t="s">
        <v>127</v>
      </c>
      <c r="E216" s="9">
        <v>42933</v>
      </c>
      <c r="F216" s="9">
        <v>42957</v>
      </c>
      <c r="G216" s="10">
        <v>42995</v>
      </c>
      <c r="H216" s="8" t="s">
        <v>72</v>
      </c>
      <c r="I216" s="11">
        <v>20912.14</v>
      </c>
      <c r="J216" s="11">
        <v>1901.1</v>
      </c>
      <c r="K216" s="11">
        <v>19011.04</v>
      </c>
      <c r="L216" s="8">
        <f t="shared" si="13"/>
        <v>-38</v>
      </c>
      <c r="M216" s="11">
        <f t="shared" si="14"/>
        <v>-722419.52</v>
      </c>
      <c r="N216" s="1"/>
      <c r="O216" s="4"/>
    </row>
    <row r="217" spans="1:15" ht="12.75">
      <c r="A217" s="8" t="s">
        <v>2</v>
      </c>
      <c r="B217" s="8">
        <v>1355</v>
      </c>
      <c r="C217" s="9">
        <v>42957</v>
      </c>
      <c r="D217" s="8" t="str">
        <f>"17077"</f>
        <v>17077</v>
      </c>
      <c r="E217" s="9">
        <v>42936</v>
      </c>
      <c r="F217" s="9">
        <v>42957</v>
      </c>
      <c r="G217" s="10">
        <v>42996</v>
      </c>
      <c r="H217" s="8" t="s">
        <v>72</v>
      </c>
      <c r="I217" s="11">
        <v>36932.19</v>
      </c>
      <c r="J217" s="11">
        <v>6659.9</v>
      </c>
      <c r="K217" s="11">
        <v>30272.29</v>
      </c>
      <c r="L217" s="8">
        <f t="shared" si="13"/>
        <v>-39</v>
      </c>
      <c r="M217" s="11">
        <f t="shared" si="14"/>
        <v>-1180619.31</v>
      </c>
      <c r="N217" s="1"/>
      <c r="O217" s="4"/>
    </row>
    <row r="218" spans="1:15" ht="12.75">
      <c r="A218" s="8" t="s">
        <v>128</v>
      </c>
      <c r="B218" s="8">
        <v>1124</v>
      </c>
      <c r="C218" s="9">
        <v>42938</v>
      </c>
      <c r="D218" s="8" t="s">
        <v>129</v>
      </c>
      <c r="E218" s="9">
        <v>42891</v>
      </c>
      <c r="F218" s="9">
        <v>42938</v>
      </c>
      <c r="G218" s="10">
        <v>42978</v>
      </c>
      <c r="H218" s="8" t="s">
        <v>72</v>
      </c>
      <c r="I218" s="8">
        <v>366</v>
      </c>
      <c r="J218" s="8">
        <v>66</v>
      </c>
      <c r="K218" s="8">
        <v>300</v>
      </c>
      <c r="L218" s="8">
        <f t="shared" si="13"/>
        <v>-40</v>
      </c>
      <c r="M218" s="11">
        <f t="shared" si="14"/>
        <v>-12000</v>
      </c>
      <c r="N218" s="1"/>
      <c r="O218" s="4"/>
    </row>
    <row r="219" spans="1:15" ht="12.75">
      <c r="A219" s="8" t="s">
        <v>108</v>
      </c>
      <c r="B219" s="8">
        <v>1691</v>
      </c>
      <c r="C219" s="9">
        <v>43008</v>
      </c>
      <c r="D219" s="8" t="s">
        <v>130</v>
      </c>
      <c r="E219" s="9">
        <v>42978</v>
      </c>
      <c r="F219" s="9">
        <v>43008</v>
      </c>
      <c r="G219" s="10">
        <v>43049</v>
      </c>
      <c r="H219" s="8" t="s">
        <v>72</v>
      </c>
      <c r="I219" s="11">
        <v>4392.2</v>
      </c>
      <c r="J219" s="8">
        <v>399.29</v>
      </c>
      <c r="K219" s="11">
        <v>3992.91</v>
      </c>
      <c r="L219" s="8">
        <f t="shared" si="13"/>
        <v>-41</v>
      </c>
      <c r="M219" s="11">
        <f t="shared" si="14"/>
        <v>-163709.31</v>
      </c>
      <c r="N219" s="1"/>
      <c r="O219" s="4"/>
    </row>
    <row r="220" spans="1:15" ht="12.75">
      <c r="A220" s="8" t="s">
        <v>108</v>
      </c>
      <c r="B220" s="8">
        <v>1691</v>
      </c>
      <c r="C220" s="9">
        <v>43008</v>
      </c>
      <c r="D220" s="8" t="s">
        <v>131</v>
      </c>
      <c r="E220" s="9">
        <v>42978</v>
      </c>
      <c r="F220" s="9">
        <v>43008</v>
      </c>
      <c r="G220" s="10">
        <v>43049</v>
      </c>
      <c r="H220" s="8" t="s">
        <v>72</v>
      </c>
      <c r="I220" s="11">
        <v>4392.2</v>
      </c>
      <c r="J220" s="8">
        <v>399.29</v>
      </c>
      <c r="K220" s="11">
        <v>3992.91</v>
      </c>
      <c r="L220" s="8">
        <f t="shared" si="13"/>
        <v>-41</v>
      </c>
      <c r="M220" s="11">
        <f t="shared" si="14"/>
        <v>-163709.31</v>
      </c>
      <c r="N220" s="1"/>
      <c r="O220" s="4"/>
    </row>
    <row r="221" spans="1:15" ht="12.75">
      <c r="A221" s="8" t="s">
        <v>132</v>
      </c>
      <c r="B221" s="8">
        <v>1687</v>
      </c>
      <c r="C221" s="9">
        <v>43008</v>
      </c>
      <c r="D221" s="8" t="s">
        <v>133</v>
      </c>
      <c r="E221" s="9">
        <v>42992</v>
      </c>
      <c r="F221" s="9">
        <v>43008</v>
      </c>
      <c r="G221" s="10">
        <v>43053</v>
      </c>
      <c r="H221" s="8" t="s">
        <v>72</v>
      </c>
      <c r="I221" s="11">
        <v>6147.29</v>
      </c>
      <c r="J221" s="8">
        <v>0</v>
      </c>
      <c r="K221" s="11">
        <v>6147.29</v>
      </c>
      <c r="L221" s="8">
        <f t="shared" si="13"/>
        <v>-45</v>
      </c>
      <c r="M221" s="11">
        <f t="shared" si="14"/>
        <v>-276628.05</v>
      </c>
      <c r="N221" s="1"/>
      <c r="O221" s="4"/>
    </row>
    <row r="222" spans="1:15" ht="12.75">
      <c r="A222" s="8" t="s">
        <v>148</v>
      </c>
      <c r="B222" s="8">
        <v>1330</v>
      </c>
      <c r="C222" s="9">
        <v>42956</v>
      </c>
      <c r="D222" s="8" t="s">
        <v>134</v>
      </c>
      <c r="E222" s="9">
        <v>42940</v>
      </c>
      <c r="F222" s="9">
        <v>42957</v>
      </c>
      <c r="G222" s="10">
        <v>43003</v>
      </c>
      <c r="H222" s="8" t="s">
        <v>72</v>
      </c>
      <c r="I222" s="8">
        <v>446</v>
      </c>
      <c r="J222" s="8">
        <v>0</v>
      </c>
      <c r="K222" s="8">
        <v>446</v>
      </c>
      <c r="L222" s="8">
        <f t="shared" si="13"/>
        <v>-46</v>
      </c>
      <c r="M222" s="11">
        <f t="shared" si="14"/>
        <v>-20516</v>
      </c>
      <c r="N222" s="1"/>
      <c r="O222" s="4"/>
    </row>
    <row r="223" spans="1:15" ht="12.75">
      <c r="A223" s="8" t="s">
        <v>148</v>
      </c>
      <c r="B223" s="8">
        <v>1328</v>
      </c>
      <c r="C223" s="9">
        <v>42956</v>
      </c>
      <c r="D223" s="8" t="s">
        <v>3</v>
      </c>
      <c r="E223" s="9">
        <v>42940</v>
      </c>
      <c r="F223" s="9">
        <v>42957</v>
      </c>
      <c r="G223" s="10">
        <v>43003</v>
      </c>
      <c r="H223" s="8" t="s">
        <v>72</v>
      </c>
      <c r="I223" s="8">
        <v>547.75</v>
      </c>
      <c r="J223" s="8">
        <v>0</v>
      </c>
      <c r="K223" s="8">
        <v>547.75</v>
      </c>
      <c r="L223" s="8">
        <f t="shared" si="13"/>
        <v>-46</v>
      </c>
      <c r="M223" s="11">
        <f t="shared" si="14"/>
        <v>-25196.5</v>
      </c>
      <c r="N223" s="1"/>
      <c r="O223" s="4"/>
    </row>
    <row r="224" spans="1:15" ht="12.75">
      <c r="A224" s="8" t="s">
        <v>148</v>
      </c>
      <c r="B224" s="8">
        <v>1329</v>
      </c>
      <c r="C224" s="9">
        <v>42956</v>
      </c>
      <c r="D224" s="8" t="s">
        <v>135</v>
      </c>
      <c r="E224" s="9">
        <v>42940</v>
      </c>
      <c r="F224" s="9">
        <v>42957</v>
      </c>
      <c r="G224" s="10">
        <v>43003</v>
      </c>
      <c r="H224" s="8" t="s">
        <v>72</v>
      </c>
      <c r="I224" s="8">
        <v>492.25</v>
      </c>
      <c r="J224" s="8">
        <v>0</v>
      </c>
      <c r="K224" s="8">
        <v>492.25</v>
      </c>
      <c r="L224" s="8">
        <f t="shared" si="13"/>
        <v>-46</v>
      </c>
      <c r="M224" s="11">
        <f t="shared" si="14"/>
        <v>-22643.5</v>
      </c>
      <c r="N224" s="1"/>
      <c r="O224" s="4"/>
    </row>
    <row r="225" spans="1:15" ht="12.75">
      <c r="A225" s="8" t="s">
        <v>132</v>
      </c>
      <c r="B225" s="8">
        <v>1687</v>
      </c>
      <c r="C225" s="9">
        <v>43008</v>
      </c>
      <c r="D225" s="8" t="s">
        <v>136</v>
      </c>
      <c r="E225" s="9">
        <v>42996</v>
      </c>
      <c r="F225" s="9">
        <v>43008</v>
      </c>
      <c r="G225" s="10">
        <v>43057</v>
      </c>
      <c r="H225" s="8" t="s">
        <v>72</v>
      </c>
      <c r="I225" s="8">
        <v>42.66</v>
      </c>
      <c r="J225" s="8">
        <v>0</v>
      </c>
      <c r="K225" s="8">
        <v>42.66</v>
      </c>
      <c r="L225" s="8">
        <f t="shared" si="13"/>
        <v>-49</v>
      </c>
      <c r="M225" s="11">
        <f t="shared" si="14"/>
        <v>-2090.3399999999997</v>
      </c>
      <c r="N225" s="1"/>
      <c r="O225" s="4"/>
    </row>
    <row r="226" spans="1:15" ht="12.75">
      <c r="A226" s="8" t="s">
        <v>132</v>
      </c>
      <c r="B226" s="8">
        <v>1687</v>
      </c>
      <c r="C226" s="9">
        <v>43008</v>
      </c>
      <c r="D226" s="8" t="s">
        <v>137</v>
      </c>
      <c r="E226" s="9">
        <v>42996</v>
      </c>
      <c r="F226" s="9">
        <v>43008</v>
      </c>
      <c r="G226" s="10">
        <v>43057</v>
      </c>
      <c r="H226" s="8" t="s">
        <v>72</v>
      </c>
      <c r="I226" s="8">
        <v>52</v>
      </c>
      <c r="J226" s="8">
        <v>0</v>
      </c>
      <c r="K226" s="8">
        <v>52</v>
      </c>
      <c r="L226" s="8">
        <f t="shared" si="13"/>
        <v>-49</v>
      </c>
      <c r="M226" s="11">
        <f t="shared" si="14"/>
        <v>-2548</v>
      </c>
      <c r="N226" s="1"/>
      <c r="O226" s="4"/>
    </row>
    <row r="227" spans="1:15" ht="12.75">
      <c r="A227" s="8" t="s">
        <v>171</v>
      </c>
      <c r="B227" s="8">
        <v>1352</v>
      </c>
      <c r="C227" s="9">
        <v>42956</v>
      </c>
      <c r="D227" s="8" t="str">
        <f>"0002129326"</f>
        <v>0002129326</v>
      </c>
      <c r="E227" s="9">
        <v>42947</v>
      </c>
      <c r="F227" s="9">
        <v>42957</v>
      </c>
      <c r="G227" s="10">
        <v>43008</v>
      </c>
      <c r="H227" s="8" t="s">
        <v>72</v>
      </c>
      <c r="I227" s="8">
        <v>87.84</v>
      </c>
      <c r="J227" s="8">
        <v>15.84</v>
      </c>
      <c r="K227" s="8">
        <v>72</v>
      </c>
      <c r="L227" s="8">
        <f t="shared" si="13"/>
        <v>-51</v>
      </c>
      <c r="M227" s="11">
        <f t="shared" si="14"/>
        <v>-3672</v>
      </c>
      <c r="N227" s="1"/>
      <c r="O227" s="4"/>
    </row>
    <row r="228" spans="1:15" ht="12.75">
      <c r="A228" s="8" t="s">
        <v>138</v>
      </c>
      <c r="B228" s="8">
        <v>1360</v>
      </c>
      <c r="C228" s="9">
        <v>42957</v>
      </c>
      <c r="D228" s="8" t="s">
        <v>139</v>
      </c>
      <c r="E228" s="9">
        <v>42935</v>
      </c>
      <c r="F228" s="9">
        <v>42957</v>
      </c>
      <c r="G228" s="10">
        <v>43008</v>
      </c>
      <c r="H228" s="8" t="s">
        <v>72</v>
      </c>
      <c r="I228" s="8">
        <v>556.32</v>
      </c>
      <c r="J228" s="8">
        <v>100.32</v>
      </c>
      <c r="K228" s="8">
        <v>456</v>
      </c>
      <c r="L228" s="8">
        <f t="shared" si="13"/>
        <v>-51</v>
      </c>
      <c r="M228" s="11">
        <f t="shared" si="14"/>
        <v>-23256</v>
      </c>
      <c r="N228" s="1"/>
      <c r="O228" s="4"/>
    </row>
    <row r="229" spans="1:15" ht="12.75">
      <c r="A229" s="8" t="s">
        <v>140</v>
      </c>
      <c r="B229" s="8">
        <v>1340</v>
      </c>
      <c r="C229" s="9">
        <v>42956</v>
      </c>
      <c r="D229" s="8" t="str">
        <f>"1010428959"</f>
        <v>1010428959</v>
      </c>
      <c r="E229" s="9">
        <v>42940</v>
      </c>
      <c r="F229" s="9">
        <v>42957</v>
      </c>
      <c r="G229" s="10">
        <v>43008</v>
      </c>
      <c r="H229" s="8" t="s">
        <v>72</v>
      </c>
      <c r="I229" s="8">
        <v>532.09</v>
      </c>
      <c r="J229" s="8">
        <v>95.95</v>
      </c>
      <c r="K229" s="8">
        <v>436.14</v>
      </c>
      <c r="L229" s="8">
        <f t="shared" si="13"/>
        <v>-51</v>
      </c>
      <c r="M229" s="11">
        <f t="shared" si="14"/>
        <v>-22243.14</v>
      </c>
      <c r="N229" s="1"/>
      <c r="O229" s="4"/>
    </row>
    <row r="230" spans="1:15" ht="12.75">
      <c r="A230" s="8" t="s">
        <v>148</v>
      </c>
      <c r="B230" s="8">
        <v>1357</v>
      </c>
      <c r="C230" s="9">
        <v>42957</v>
      </c>
      <c r="D230" s="8" t="s">
        <v>141</v>
      </c>
      <c r="E230" s="10">
        <v>42948</v>
      </c>
      <c r="F230" s="9">
        <v>42957</v>
      </c>
      <c r="G230" s="10">
        <v>43010</v>
      </c>
      <c r="H230" s="8" t="s">
        <v>72</v>
      </c>
      <c r="I230" s="8">
        <v>816</v>
      </c>
      <c r="J230" s="8">
        <v>0</v>
      </c>
      <c r="K230" s="8">
        <v>816</v>
      </c>
      <c r="L230" s="8">
        <f t="shared" si="13"/>
        <v>-53</v>
      </c>
      <c r="M230" s="11">
        <f t="shared" si="14"/>
        <v>-43248</v>
      </c>
      <c r="N230" s="1"/>
      <c r="O230" s="4"/>
    </row>
    <row r="231" spans="1:15" ht="12.75">
      <c r="A231" s="8" t="s">
        <v>142</v>
      </c>
      <c r="B231" s="8">
        <v>1288</v>
      </c>
      <c r="C231" s="9">
        <v>42950</v>
      </c>
      <c r="D231" s="8" t="s">
        <v>143</v>
      </c>
      <c r="E231" s="9">
        <v>42928</v>
      </c>
      <c r="F231" s="9">
        <v>42952</v>
      </c>
      <c r="G231" s="10">
        <v>43008</v>
      </c>
      <c r="H231" s="8" t="s">
        <v>72</v>
      </c>
      <c r="I231" s="8">
        <v>409.55</v>
      </c>
      <c r="J231" s="8">
        <v>73.85</v>
      </c>
      <c r="K231" s="8">
        <v>335.7</v>
      </c>
      <c r="L231" s="8">
        <f t="shared" si="13"/>
        <v>-56</v>
      </c>
      <c r="M231" s="11">
        <f t="shared" si="14"/>
        <v>-18799.2</v>
      </c>
      <c r="N231" s="1"/>
      <c r="O231" s="4"/>
    </row>
    <row r="232" spans="1:15" ht="12.75">
      <c r="A232" s="8" t="s">
        <v>195</v>
      </c>
      <c r="B232" s="8">
        <v>1372</v>
      </c>
      <c r="C232" s="9">
        <v>42976</v>
      </c>
      <c r="D232" s="8" t="str">
        <f>"6820170805000257"</f>
        <v>6820170805000257</v>
      </c>
      <c r="E232" s="9">
        <v>42948</v>
      </c>
      <c r="F232" s="9">
        <v>42976</v>
      </c>
      <c r="G232" s="10">
        <v>43038</v>
      </c>
      <c r="H232" s="8" t="s">
        <v>72</v>
      </c>
      <c r="I232" s="8">
        <v>60.76</v>
      </c>
      <c r="J232" s="8">
        <v>10.96</v>
      </c>
      <c r="K232" s="8">
        <v>49.8</v>
      </c>
      <c r="L232" s="8">
        <f t="shared" si="13"/>
        <v>-62</v>
      </c>
      <c r="M232" s="11">
        <f t="shared" si="14"/>
        <v>-3087.6</v>
      </c>
      <c r="N232" s="1"/>
      <c r="O232" s="4"/>
    </row>
    <row r="233" spans="1:15" ht="12.75">
      <c r="A233" s="8" t="s">
        <v>195</v>
      </c>
      <c r="B233" s="8">
        <v>1372</v>
      </c>
      <c r="C233" s="9">
        <v>42976</v>
      </c>
      <c r="D233" s="8" t="str">
        <f>"6820170805000216"</f>
        <v>6820170805000216</v>
      </c>
      <c r="E233" s="9">
        <v>42948</v>
      </c>
      <c r="F233" s="9">
        <v>42976</v>
      </c>
      <c r="G233" s="10">
        <v>43038</v>
      </c>
      <c r="H233" s="8" t="s">
        <v>72</v>
      </c>
      <c r="I233" s="8">
        <v>128.47</v>
      </c>
      <c r="J233" s="8">
        <v>23.17</v>
      </c>
      <c r="K233" s="8">
        <v>105.3</v>
      </c>
      <c r="L233" s="8">
        <f t="shared" si="13"/>
        <v>-62</v>
      </c>
      <c r="M233" s="11">
        <f t="shared" si="14"/>
        <v>-6528.599999999999</v>
      </c>
      <c r="N233" s="1"/>
      <c r="O233" s="4"/>
    </row>
    <row r="234" spans="1:15" ht="12.75">
      <c r="A234" s="8" t="s">
        <v>195</v>
      </c>
      <c r="B234" s="8">
        <v>1372</v>
      </c>
      <c r="C234" s="9">
        <v>42976</v>
      </c>
      <c r="D234" s="8" t="str">
        <f>"6820170805000211"</f>
        <v>6820170805000211</v>
      </c>
      <c r="E234" s="9">
        <v>42948</v>
      </c>
      <c r="F234" s="9">
        <v>42976</v>
      </c>
      <c r="G234" s="10">
        <v>43038</v>
      </c>
      <c r="H234" s="8" t="s">
        <v>72</v>
      </c>
      <c r="I234" s="8">
        <v>312.71</v>
      </c>
      <c r="J234" s="8">
        <v>56.39</v>
      </c>
      <c r="K234" s="8">
        <v>256.32</v>
      </c>
      <c r="L234" s="8">
        <f t="shared" si="13"/>
        <v>-62</v>
      </c>
      <c r="M234" s="11">
        <f t="shared" si="14"/>
        <v>-15891.84</v>
      </c>
      <c r="N234" s="1"/>
      <c r="O234" s="4"/>
    </row>
    <row r="235" spans="1:15" ht="12.75">
      <c r="A235" s="8" t="s">
        <v>195</v>
      </c>
      <c r="B235" s="8">
        <v>1372</v>
      </c>
      <c r="C235" s="9">
        <v>42976</v>
      </c>
      <c r="D235" s="8" t="str">
        <f>"6820170805000217"</f>
        <v>6820170805000217</v>
      </c>
      <c r="E235" s="9">
        <v>42948</v>
      </c>
      <c r="F235" s="9">
        <v>42976</v>
      </c>
      <c r="G235" s="10">
        <v>43038</v>
      </c>
      <c r="H235" s="8" t="s">
        <v>72</v>
      </c>
      <c r="I235" s="8">
        <v>88.9</v>
      </c>
      <c r="J235" s="8">
        <v>16.03</v>
      </c>
      <c r="K235" s="8">
        <v>72.87</v>
      </c>
      <c r="L235" s="8">
        <f t="shared" si="13"/>
        <v>-62</v>
      </c>
      <c r="M235" s="11">
        <f t="shared" si="14"/>
        <v>-4517.9400000000005</v>
      </c>
      <c r="N235" s="1"/>
      <c r="O235" s="4"/>
    </row>
    <row r="236" spans="1:15" ht="12.75">
      <c r="A236" s="8" t="s">
        <v>195</v>
      </c>
      <c r="B236" s="8">
        <v>1374</v>
      </c>
      <c r="C236" s="9">
        <v>42976</v>
      </c>
      <c r="D236" s="8" t="str">
        <f>"6820170805000212"</f>
        <v>6820170805000212</v>
      </c>
      <c r="E236" s="9">
        <v>42948</v>
      </c>
      <c r="F236" s="9">
        <v>42976</v>
      </c>
      <c r="G236" s="10">
        <v>43038</v>
      </c>
      <c r="H236" s="8" t="s">
        <v>72</v>
      </c>
      <c r="I236" s="8">
        <v>334.38</v>
      </c>
      <c r="J236" s="8">
        <v>60.3</v>
      </c>
      <c r="K236" s="8">
        <v>274.08</v>
      </c>
      <c r="L236" s="8">
        <f t="shared" si="13"/>
        <v>-62</v>
      </c>
      <c r="M236" s="11">
        <f t="shared" si="14"/>
        <v>-16992.96</v>
      </c>
      <c r="N236" s="1"/>
      <c r="O236" s="4"/>
    </row>
    <row r="237" spans="1:15" ht="12.75">
      <c r="A237" s="8" t="s">
        <v>195</v>
      </c>
      <c r="B237" s="8">
        <v>1375</v>
      </c>
      <c r="C237" s="9">
        <v>42976</v>
      </c>
      <c r="D237" s="8" t="str">
        <f>"6820170805000215"</f>
        <v>6820170805000215</v>
      </c>
      <c r="E237" s="9">
        <v>42948</v>
      </c>
      <c r="F237" s="9">
        <v>42976</v>
      </c>
      <c r="G237" s="10">
        <v>43038</v>
      </c>
      <c r="H237" s="8" t="s">
        <v>72</v>
      </c>
      <c r="I237" s="8">
        <v>98.78</v>
      </c>
      <c r="J237" s="8">
        <v>17.81</v>
      </c>
      <c r="K237" s="8">
        <v>80.97</v>
      </c>
      <c r="L237" s="8">
        <f>+F237-G237</f>
        <v>-62</v>
      </c>
      <c r="M237" s="11">
        <f t="shared" si="14"/>
        <v>-5020.14</v>
      </c>
      <c r="N237" s="1"/>
      <c r="O237" s="4"/>
    </row>
    <row r="238" spans="1:15" ht="12.75">
      <c r="A238" s="8" t="s">
        <v>171</v>
      </c>
      <c r="B238" s="8">
        <v>1566</v>
      </c>
      <c r="C238" s="9">
        <v>43004</v>
      </c>
      <c r="D238" s="8" t="str">
        <f>"0002133157"</f>
        <v>0002133157</v>
      </c>
      <c r="E238" s="9">
        <v>42993</v>
      </c>
      <c r="F238" s="9">
        <v>43004</v>
      </c>
      <c r="G238" s="10">
        <v>43069</v>
      </c>
      <c r="H238" s="8" t="s">
        <v>72</v>
      </c>
      <c r="I238" s="8">
        <v>488</v>
      </c>
      <c r="J238" s="8">
        <v>88</v>
      </c>
      <c r="K238" s="8">
        <v>400</v>
      </c>
      <c r="L238" s="8">
        <f>+F238-G238</f>
        <v>-65</v>
      </c>
      <c r="M238" s="11">
        <f>+K238*L238</f>
        <v>-26000</v>
      </c>
      <c r="N238" s="1"/>
      <c r="O238" s="4"/>
    </row>
    <row r="239" spans="1:13" ht="12.75">
      <c r="A239" s="8" t="s">
        <v>144</v>
      </c>
      <c r="B239" s="8">
        <v>0</v>
      </c>
      <c r="C239" s="8"/>
      <c r="D239" s="8"/>
      <c r="E239" s="8"/>
      <c r="F239" s="8"/>
      <c r="G239" s="15"/>
      <c r="H239" s="8"/>
      <c r="I239" s="11">
        <v>459386.69</v>
      </c>
      <c r="J239" s="11">
        <v>58193.82</v>
      </c>
      <c r="K239" s="11">
        <v>401192.87</v>
      </c>
      <c r="L239" s="16">
        <f>+M239/K239</f>
        <v>-14.73330323642092</v>
      </c>
      <c r="M239" s="11">
        <f>SUM(M2:M238)</f>
        <v>-5910896.209999997</v>
      </c>
    </row>
    <row r="243" spans="11:13" ht="12.75">
      <c r="K243" s="2"/>
      <c r="M24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Hewlett-Packard Company</cp:lastModifiedBy>
  <dcterms:created xsi:type="dcterms:W3CDTF">2017-10-11T07:03:51Z</dcterms:created>
  <dcterms:modified xsi:type="dcterms:W3CDTF">2017-10-11T13:12:32Z</dcterms:modified>
  <cp:category/>
  <cp:version/>
  <cp:contentType/>
  <cp:contentStatus/>
</cp:coreProperties>
</file>