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8\INDICATORE TEMPESTIVITA' DI PAGAMENTO\II trimestre\"/>
    </mc:Choice>
  </mc:AlternateContent>
  <xr:revisionPtr revIDLastSave="0" documentId="10_ncr:8100000_{085C7380-DA2B-4560-9D95-B561E9CDED79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L_RIT" sheetId="1" r:id="rId1"/>
  </sheets>
  <definedNames>
    <definedName name="_xlnm.Print_Titles" localSheetId="0">L_RIT!$1:$1</definedName>
  </definedNames>
  <calcPr calcId="162913"/>
</workbook>
</file>

<file path=xl/calcChain.xml><?xml version="1.0" encoding="utf-8"?>
<calcChain xmlns="http://schemas.openxmlformats.org/spreadsheetml/2006/main">
  <c r="O76" i="1" l="1"/>
  <c r="O2" i="1"/>
  <c r="P2" i="1"/>
  <c r="O5" i="1"/>
  <c r="P5" i="1"/>
  <c r="O6" i="1"/>
  <c r="P6" i="1"/>
  <c r="O7" i="1"/>
  <c r="P7" i="1"/>
  <c r="O3" i="1"/>
  <c r="P3" i="1"/>
  <c r="O4" i="1"/>
  <c r="P4" i="1"/>
  <c r="O106" i="1"/>
  <c r="P106" i="1"/>
  <c r="O20" i="1"/>
  <c r="P20" i="1"/>
  <c r="O28" i="1"/>
  <c r="P28" i="1"/>
  <c r="O8" i="1"/>
  <c r="P8" i="1"/>
  <c r="O9" i="1"/>
  <c r="P9" i="1"/>
  <c r="O10" i="1"/>
  <c r="P10" i="1"/>
  <c r="O13" i="1"/>
  <c r="P13" i="1"/>
  <c r="O11" i="1"/>
  <c r="P11" i="1"/>
  <c r="O17" i="1"/>
  <c r="P17" i="1"/>
  <c r="O15" i="1"/>
  <c r="P15" i="1"/>
  <c r="O19" i="1"/>
  <c r="P19" i="1"/>
  <c r="O12" i="1"/>
  <c r="P12" i="1"/>
  <c r="O14" i="1"/>
  <c r="P14" i="1"/>
  <c r="O16" i="1"/>
  <c r="P16" i="1"/>
  <c r="O29" i="1"/>
  <c r="P29" i="1"/>
  <c r="O18" i="1"/>
  <c r="P18" i="1"/>
  <c r="O189" i="1"/>
  <c r="P189" i="1"/>
  <c r="O21" i="1"/>
  <c r="P21" i="1"/>
  <c r="O22" i="1"/>
  <c r="P22" i="1"/>
  <c r="O23" i="1"/>
  <c r="P23" i="1"/>
  <c r="O24" i="1"/>
  <c r="P24" i="1"/>
  <c r="O25" i="1"/>
  <c r="P25" i="1"/>
  <c r="O26" i="1"/>
  <c r="P26" i="1"/>
  <c r="O181" i="1"/>
  <c r="P181" i="1"/>
  <c r="O27" i="1"/>
  <c r="P27" i="1"/>
  <c r="O162" i="1"/>
  <c r="P162" i="1"/>
  <c r="O30" i="1"/>
  <c r="P30" i="1"/>
  <c r="O182" i="1"/>
  <c r="P182" i="1"/>
  <c r="O77" i="1"/>
  <c r="P77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78" i="1"/>
  <c r="P78" i="1"/>
  <c r="O57" i="1"/>
  <c r="P57" i="1"/>
  <c r="O31" i="1"/>
  <c r="P31" i="1"/>
  <c r="O32" i="1"/>
  <c r="P32" i="1"/>
  <c r="O33" i="1"/>
  <c r="P33" i="1"/>
  <c r="O34" i="1"/>
  <c r="P34" i="1"/>
  <c r="O35" i="1"/>
  <c r="P35" i="1"/>
  <c r="O205" i="1"/>
  <c r="P20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137" i="1"/>
  <c r="P137" i="1"/>
  <c r="O206" i="1"/>
  <c r="P206" i="1"/>
  <c r="O72" i="1"/>
  <c r="P72" i="1"/>
  <c r="O73" i="1"/>
  <c r="P73" i="1"/>
  <c r="O74" i="1"/>
  <c r="P74" i="1"/>
  <c r="O79" i="1"/>
  <c r="P79" i="1"/>
  <c r="O80" i="1"/>
  <c r="P80" i="1"/>
  <c r="O81" i="1"/>
  <c r="P81" i="1"/>
  <c r="O82" i="1"/>
  <c r="P82" i="1"/>
  <c r="O83" i="1"/>
  <c r="P83" i="1"/>
  <c r="O84" i="1"/>
  <c r="P84" i="1"/>
  <c r="O107" i="1"/>
  <c r="P107" i="1"/>
  <c r="O108" i="1"/>
  <c r="P108" i="1"/>
  <c r="O109" i="1"/>
  <c r="P109" i="1"/>
  <c r="O110" i="1"/>
  <c r="P110" i="1"/>
  <c r="O111" i="1"/>
  <c r="P111" i="1"/>
  <c r="O123" i="1"/>
  <c r="P123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35" i="1"/>
  <c r="P135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60" i="1"/>
  <c r="P160" i="1"/>
  <c r="O161" i="1"/>
  <c r="P161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G136" i="1" l="1"/>
  <c r="O136" i="1" s="1"/>
  <c r="G86" i="1"/>
  <c r="O86" i="1" s="1"/>
  <c r="G87" i="1"/>
  <c r="O87" i="1" s="1"/>
  <c r="G88" i="1"/>
  <c r="O88" i="1" s="1"/>
  <c r="G89" i="1"/>
  <c r="O89" i="1" s="1"/>
  <c r="G90" i="1"/>
  <c r="O90" i="1" s="1"/>
  <c r="G91" i="1"/>
  <c r="O91" i="1" s="1"/>
  <c r="G92" i="1"/>
  <c r="O92" i="1" s="1"/>
  <c r="G93" i="1"/>
  <c r="O93" i="1" s="1"/>
  <c r="G94" i="1"/>
  <c r="O94" i="1" s="1"/>
  <c r="G95" i="1"/>
  <c r="O95" i="1" s="1"/>
  <c r="G96" i="1"/>
  <c r="O96" i="1" s="1"/>
  <c r="G97" i="1"/>
  <c r="O97" i="1" s="1"/>
  <c r="G98" i="1"/>
  <c r="O98" i="1" s="1"/>
  <c r="G99" i="1"/>
  <c r="O99" i="1" s="1"/>
  <c r="G100" i="1"/>
  <c r="O100" i="1" s="1"/>
  <c r="G101" i="1"/>
  <c r="O101" i="1" s="1"/>
  <c r="G102" i="1"/>
  <c r="O102" i="1" s="1"/>
  <c r="G103" i="1"/>
  <c r="O103" i="1" s="1"/>
  <c r="G104" i="1"/>
  <c r="O104" i="1" s="1"/>
  <c r="G105" i="1"/>
  <c r="O105" i="1" s="1"/>
  <c r="G66" i="1"/>
  <c r="O66" i="1" s="1"/>
  <c r="G67" i="1"/>
  <c r="O67" i="1" s="1"/>
  <c r="G68" i="1"/>
  <c r="O68" i="1" s="1"/>
  <c r="G69" i="1"/>
  <c r="O69" i="1" s="1"/>
  <c r="G70" i="1"/>
  <c r="O70" i="1" s="1"/>
  <c r="G71" i="1"/>
  <c r="O71" i="1" s="1"/>
  <c r="G85" i="1"/>
  <c r="O85" i="1" s="1"/>
  <c r="G65" i="1"/>
  <c r="O65" i="1" s="1"/>
  <c r="G64" i="1"/>
  <c r="O64" i="1" s="1"/>
  <c r="G63" i="1"/>
  <c r="O63" i="1" s="1"/>
  <c r="G62" i="1"/>
  <c r="O62" i="1" s="1"/>
  <c r="G61" i="1"/>
  <c r="O61" i="1" s="1"/>
  <c r="G60" i="1"/>
  <c r="O60" i="1" s="1"/>
  <c r="D65" i="1"/>
  <c r="D64" i="1"/>
  <c r="D63" i="1"/>
  <c r="D62" i="1"/>
  <c r="D61" i="1"/>
  <c r="D60" i="1"/>
  <c r="G149" i="1"/>
  <c r="O149" i="1" s="1"/>
  <c r="G59" i="1" l="1"/>
  <c r="O59" i="1" s="1"/>
  <c r="D59" i="1"/>
  <c r="G58" i="1"/>
  <c r="O58" i="1" s="1"/>
  <c r="G75" i="1" l="1"/>
  <c r="O75" i="1" s="1"/>
  <c r="K234" i="1" l="1"/>
  <c r="M60" i="1"/>
  <c r="M61" i="1"/>
  <c r="M62" i="1"/>
  <c r="M63" i="1"/>
  <c r="M64" i="1"/>
  <c r="M65" i="1"/>
  <c r="M66" i="1"/>
  <c r="M68" i="1"/>
  <c r="M69" i="1"/>
  <c r="M70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4" i="1"/>
  <c r="M105" i="1"/>
  <c r="M149" i="1"/>
  <c r="M136" i="1"/>
  <c r="M75" i="1"/>
  <c r="M76" i="1"/>
  <c r="M2" i="1"/>
  <c r="M5" i="1"/>
  <c r="M6" i="1"/>
  <c r="M7" i="1"/>
  <c r="M3" i="1"/>
  <c r="M4" i="1"/>
  <c r="M20" i="1"/>
  <c r="M28" i="1"/>
  <c r="M8" i="1"/>
  <c r="M10" i="1"/>
  <c r="M13" i="1"/>
  <c r="M11" i="1"/>
  <c r="M17" i="1"/>
  <c r="M15" i="1"/>
  <c r="M19" i="1"/>
  <c r="M12" i="1"/>
  <c r="M14" i="1"/>
  <c r="M16" i="1"/>
  <c r="M29" i="1"/>
  <c r="M18" i="1"/>
  <c r="M189" i="1"/>
  <c r="M21" i="1"/>
  <c r="M22" i="1"/>
  <c r="M23" i="1"/>
  <c r="M24" i="1"/>
  <c r="M26" i="1"/>
  <c r="M181" i="1"/>
  <c r="M27" i="1"/>
  <c r="M162" i="1"/>
  <c r="M30" i="1"/>
  <c r="M182" i="1"/>
  <c r="M77" i="1"/>
  <c r="M112" i="1"/>
  <c r="M113" i="1"/>
  <c r="M114" i="1"/>
  <c r="M115" i="1"/>
  <c r="M116" i="1"/>
  <c r="M117" i="1"/>
  <c r="M118" i="1"/>
  <c r="M119" i="1"/>
  <c r="M120" i="1"/>
  <c r="M121" i="1"/>
  <c r="M122" i="1"/>
  <c r="M124" i="1"/>
  <c r="M126" i="1"/>
  <c r="M127" i="1"/>
  <c r="M128" i="1"/>
  <c r="M130" i="1"/>
  <c r="M131" i="1"/>
  <c r="M132" i="1"/>
  <c r="M133" i="1"/>
  <c r="M134" i="1"/>
  <c r="M78" i="1"/>
  <c r="M57" i="1"/>
  <c r="M31" i="1"/>
  <c r="M32" i="1"/>
  <c r="M33" i="1"/>
  <c r="M34" i="1"/>
  <c r="M35" i="1"/>
  <c r="M20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137" i="1"/>
  <c r="M206" i="1"/>
  <c r="M72" i="1"/>
  <c r="M73" i="1"/>
  <c r="M74" i="1"/>
  <c r="M79" i="1"/>
  <c r="M80" i="1"/>
  <c r="M81" i="1"/>
  <c r="M82" i="1"/>
  <c r="M83" i="1"/>
  <c r="M84" i="1"/>
  <c r="M107" i="1"/>
  <c r="M108" i="1"/>
  <c r="M109" i="1"/>
  <c r="M110" i="1"/>
  <c r="M111" i="1"/>
  <c r="M123" i="1"/>
  <c r="M150" i="1"/>
  <c r="M151" i="1"/>
  <c r="M152" i="1"/>
  <c r="M153" i="1"/>
  <c r="M154" i="1"/>
  <c r="M155" i="1"/>
  <c r="M156" i="1"/>
  <c r="M157" i="1"/>
  <c r="M158" i="1"/>
  <c r="M159" i="1"/>
  <c r="M135" i="1"/>
  <c r="M138" i="1"/>
  <c r="M139" i="1"/>
  <c r="M140" i="1"/>
  <c r="M141" i="1"/>
  <c r="M142" i="1"/>
  <c r="M143" i="1"/>
  <c r="M144" i="1"/>
  <c r="M145" i="1"/>
  <c r="M146" i="1"/>
  <c r="M147" i="1"/>
  <c r="M148" i="1"/>
  <c r="M160" i="1"/>
  <c r="M161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3" i="1"/>
  <c r="M184" i="1"/>
  <c r="M185" i="1"/>
  <c r="M186" i="1"/>
  <c r="M187" i="1"/>
  <c r="M188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8" i="1"/>
  <c r="M229" i="1"/>
  <c r="M230" i="1"/>
  <c r="M231" i="1"/>
  <c r="M232" i="1"/>
  <c r="M233" i="1"/>
  <c r="M58" i="1"/>
  <c r="M227" i="1"/>
  <c r="M49" i="1"/>
  <c r="M125" i="1"/>
  <c r="M129" i="1"/>
  <c r="M25" i="1"/>
  <c r="M106" i="1"/>
  <c r="M9" i="1"/>
  <c r="M100" i="1"/>
  <c r="M103" i="1"/>
  <c r="M67" i="1"/>
  <c r="M71" i="1"/>
  <c r="M59" i="1"/>
  <c r="D58" i="1"/>
  <c r="D66" i="1"/>
  <c r="D67" i="1"/>
  <c r="D68" i="1"/>
  <c r="D69" i="1"/>
  <c r="D70" i="1"/>
  <c r="D71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36" i="1"/>
  <c r="D76" i="1"/>
  <c r="D5" i="1"/>
  <c r="D6" i="1"/>
  <c r="D7" i="1"/>
  <c r="D3" i="1"/>
  <c r="D8" i="1"/>
  <c r="D9" i="1"/>
  <c r="D10" i="1"/>
  <c r="D15" i="1"/>
  <c r="D19" i="1"/>
  <c r="D16" i="1"/>
  <c r="D29" i="1"/>
  <c r="D18" i="1"/>
  <c r="D26" i="1"/>
  <c r="D181" i="1"/>
  <c r="D30" i="1"/>
  <c r="D77" i="1"/>
  <c r="D78" i="1"/>
  <c r="D57" i="1"/>
  <c r="D32" i="1"/>
  <c r="D33" i="1"/>
  <c r="D36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137" i="1"/>
  <c r="D206" i="1"/>
  <c r="D72" i="1"/>
  <c r="D73" i="1"/>
  <c r="D79" i="1"/>
  <c r="D81" i="1"/>
  <c r="D84" i="1"/>
  <c r="D107" i="1"/>
  <c r="D110" i="1"/>
  <c r="D111" i="1"/>
  <c r="D135" i="1"/>
  <c r="D139" i="1"/>
  <c r="D141" i="1"/>
  <c r="D142" i="1"/>
  <c r="D143" i="1"/>
  <c r="D144" i="1"/>
  <c r="D146" i="1"/>
  <c r="D177" i="1"/>
  <c r="D178" i="1"/>
  <c r="D179" i="1"/>
  <c r="D180" i="1"/>
  <c r="D187" i="1"/>
  <c r="D207" i="1"/>
  <c r="D212" i="1"/>
  <c r="D213" i="1"/>
  <c r="D218" i="1"/>
  <c r="D224" i="1"/>
  <c r="D225" i="1"/>
  <c r="D228" i="1"/>
  <c r="D229" i="1"/>
  <c r="D230" i="1"/>
  <c r="D232" i="1"/>
  <c r="M234" i="1" l="1"/>
</calcChain>
</file>

<file path=xl/sharedStrings.xml><?xml version="1.0" encoding="utf-8"?>
<sst xmlns="http://schemas.openxmlformats.org/spreadsheetml/2006/main" count="604" uniqueCount="193">
  <si>
    <t>Beneficiario</t>
  </si>
  <si>
    <t>Data mandato</t>
  </si>
  <si>
    <t>Num. fattura</t>
  </si>
  <si>
    <t>Data fattura</t>
  </si>
  <si>
    <t>Data pagamento</t>
  </si>
  <si>
    <t>Data scadenza</t>
  </si>
  <si>
    <t>Importo</t>
  </si>
  <si>
    <t>Iva split</t>
  </si>
  <si>
    <t>Netto</t>
  </si>
  <si>
    <t>GG diff.</t>
  </si>
  <si>
    <t>Prodotto</t>
  </si>
  <si>
    <t>ACQUE VERONESI S.C.A.R.L.</t>
  </si>
  <si>
    <t>S</t>
  </si>
  <si>
    <t>FONDAZIONE CASA DI RIPOSO `EUFEMIA CARRIROLO`</t>
  </si>
  <si>
    <t>21P</t>
  </si>
  <si>
    <t>P</t>
  </si>
  <si>
    <t>GIRARDI E ASSOCIATI SRL</t>
  </si>
  <si>
    <t>000013-2018-PA C</t>
  </si>
  <si>
    <t>CAGALLI AMPELIO</t>
  </si>
  <si>
    <t>GEM SNC DI GROSSI GALEAZZO E C.</t>
  </si>
  <si>
    <t>000012/FE</t>
  </si>
  <si>
    <t>CONSORZIO ENERGIA VENETO</t>
  </si>
  <si>
    <t>POSTE ITALIANE SPA</t>
  </si>
  <si>
    <t>GLOBAL POWER SPA</t>
  </si>
  <si>
    <t>V0/17879</t>
  </si>
  <si>
    <t>IMPRESA EDILE DEGANI GIANNI</t>
  </si>
  <si>
    <t>1 PA</t>
  </si>
  <si>
    <t>GRAFICHE STELLA s.r.l.</t>
  </si>
  <si>
    <t>S-8</t>
  </si>
  <si>
    <t>ZANIBONI VINCENZO</t>
  </si>
  <si>
    <t>1/PA</t>
  </si>
  <si>
    <t>DIREZ.PROV.PP.TT.-RAGIONER.PROV.MACCHINE AFFRANCATRICE</t>
  </si>
  <si>
    <t>V0/43391</t>
  </si>
  <si>
    <t>SPERANZA SOC. COOP. SOC. ONLUS</t>
  </si>
  <si>
    <t>45/19</t>
  </si>
  <si>
    <t>GARZON ALESSANDRO</t>
  </si>
  <si>
    <t>61/01</t>
  </si>
  <si>
    <t>C.A.M.V.O. S.p.A.</t>
  </si>
  <si>
    <t>LADE s.r.l.</t>
  </si>
  <si>
    <t>0000011/PA</t>
  </si>
  <si>
    <t>GLOBAL POWER SERVICE SPA</t>
  </si>
  <si>
    <t>2018-V5-74</t>
  </si>
  <si>
    <t>DOLOMITI ENERGIA SPA</t>
  </si>
  <si>
    <t>SOLUZIONE SRL</t>
  </si>
  <si>
    <t>SOC. COOP. CAVALLO</t>
  </si>
  <si>
    <t>3/PA</t>
  </si>
  <si>
    <t>591-2018-01</t>
  </si>
  <si>
    <t>576-2018-01</t>
  </si>
  <si>
    <t>592-2018-01</t>
  </si>
  <si>
    <t>VELOCAR SRL</t>
  </si>
  <si>
    <t>152/FE</t>
  </si>
  <si>
    <t>117/19</t>
  </si>
  <si>
    <t>SIVE S.R.L.</t>
  </si>
  <si>
    <t>MAZZI GUALTIERO</t>
  </si>
  <si>
    <t>6/E</t>
  </si>
  <si>
    <t>2/PA</t>
  </si>
  <si>
    <t>FONDAZIONE GIOVANNI MERITANI</t>
  </si>
  <si>
    <t>30/E</t>
  </si>
  <si>
    <t>V0/56066</t>
  </si>
  <si>
    <t>V0/56063</t>
  </si>
  <si>
    <t>V0/56062</t>
  </si>
  <si>
    <t>V0/56061</t>
  </si>
  <si>
    <t>V0/56058</t>
  </si>
  <si>
    <t>V0/56067</t>
  </si>
  <si>
    <t>V0/56060</t>
  </si>
  <si>
    <t>V0/56065</t>
  </si>
  <si>
    <t>V0/56059</t>
  </si>
  <si>
    <t>V0/56064</t>
  </si>
  <si>
    <t>V0/56057</t>
  </si>
  <si>
    <t>V0/68598</t>
  </si>
  <si>
    <t>V0/68595</t>
  </si>
  <si>
    <t>V0/68600</t>
  </si>
  <si>
    <t>V0/68591</t>
  </si>
  <si>
    <t>V0/68597</t>
  </si>
  <si>
    <t>V0/68592</t>
  </si>
  <si>
    <t>V0/68599</t>
  </si>
  <si>
    <t>V0/68601</t>
  </si>
  <si>
    <t>V0/68593</t>
  </si>
  <si>
    <t>V0/68596</t>
  </si>
  <si>
    <t>V0/68594</t>
  </si>
  <si>
    <t>STUDIO NOTARILE ASSOCIATO MARINO</t>
  </si>
  <si>
    <t>266/2018</t>
  </si>
  <si>
    <t>GRAFICHE E.GASPARI SRL</t>
  </si>
  <si>
    <t>M.T. S.P.A.</t>
  </si>
  <si>
    <t>IL PONTE SOCIETA' COOPERATIVA SOCIALE O.N.L.U.S.</t>
  </si>
  <si>
    <t>2018     8/E</t>
  </si>
  <si>
    <t>000003-2018-PA C</t>
  </si>
  <si>
    <t>4/PA</t>
  </si>
  <si>
    <t>AGRIVERDE</t>
  </si>
  <si>
    <t>0000002/PA</t>
  </si>
  <si>
    <t>COMPERIO SRL</t>
  </si>
  <si>
    <t>044/AE</t>
  </si>
  <si>
    <t>MAGGIOLI S.P.A.</t>
  </si>
  <si>
    <t>0000016/PA</t>
  </si>
  <si>
    <t>0000021/PA</t>
  </si>
  <si>
    <t>ARUBA PEC SPA</t>
  </si>
  <si>
    <t>A18PMS0000442</t>
  </si>
  <si>
    <t>2018    55/E</t>
  </si>
  <si>
    <t>ELETTRO FLASH S.N.C. DI BALDASSARI GIANLUIGI E C</t>
  </si>
  <si>
    <t>2018-V5-120</t>
  </si>
  <si>
    <t>2018-V5-99</t>
  </si>
  <si>
    <t>OLIVETTI S.P.A.</t>
  </si>
  <si>
    <t>SCAVI MARTINELLI. S.N.C</t>
  </si>
  <si>
    <t>06/PA</t>
  </si>
  <si>
    <t>V0/43393</t>
  </si>
  <si>
    <t>V0/43395</t>
  </si>
  <si>
    <t>V0/43396</t>
  </si>
  <si>
    <t>V0/43397</t>
  </si>
  <si>
    <t>V0/43390</t>
  </si>
  <si>
    <t>V0/43392</t>
  </si>
  <si>
    <t>V0/43399</t>
  </si>
  <si>
    <t>V0/43400</t>
  </si>
  <si>
    <t>V0/43398</t>
  </si>
  <si>
    <t>V0/43394</t>
  </si>
  <si>
    <t>52/E</t>
  </si>
  <si>
    <t>CAGALI FRANCESCO</t>
  </si>
  <si>
    <t>DALLA MORA DANIELE E C. SNC</t>
  </si>
  <si>
    <t>0000003/PA</t>
  </si>
  <si>
    <t>ACCATRE S.R.L.</t>
  </si>
  <si>
    <t>1/180451</t>
  </si>
  <si>
    <t>1/180457</t>
  </si>
  <si>
    <t>178/19</t>
  </si>
  <si>
    <t>177/19</t>
  </si>
  <si>
    <t>ASSOCIAZIONE PRO LOCO `LE CONTRA'`</t>
  </si>
  <si>
    <t>2FE</t>
  </si>
  <si>
    <t>TELECOM ITALIA S.P.A.</t>
  </si>
  <si>
    <t>8E00309422</t>
  </si>
  <si>
    <t>8E00311383</t>
  </si>
  <si>
    <t>8E00306317</t>
  </si>
  <si>
    <t>8E00306233</t>
  </si>
  <si>
    <t>8E00306654</t>
  </si>
  <si>
    <t>8E00311155</t>
  </si>
  <si>
    <t>8E00311813</t>
  </si>
  <si>
    <t>8E00309232</t>
  </si>
  <si>
    <t>8E00307897</t>
  </si>
  <si>
    <t>8E00304554</t>
  </si>
  <si>
    <t>8E00310774</t>
  </si>
  <si>
    <t>8E00310846</t>
  </si>
  <si>
    <t>8E00307797</t>
  </si>
  <si>
    <t>HALLEY VENETO S.R.L.</t>
  </si>
  <si>
    <t>1/180349</t>
  </si>
  <si>
    <t>M.D.L. SNC DI ANDREOLI &amp;.MURAROLI</t>
  </si>
  <si>
    <t>FatPAM 5A/2018/PA</t>
  </si>
  <si>
    <t>2018    28/E</t>
  </si>
  <si>
    <t>05P</t>
  </si>
  <si>
    <t>8E00108335</t>
  </si>
  <si>
    <t>8E00109688</t>
  </si>
  <si>
    <t>8E00110533</t>
  </si>
  <si>
    <t>8E00105048</t>
  </si>
  <si>
    <t>8E00104874</t>
  </si>
  <si>
    <t>8E00108287</t>
  </si>
  <si>
    <t>8E00106276</t>
  </si>
  <si>
    <t>8E00108829</t>
  </si>
  <si>
    <t>8E00108397</t>
  </si>
  <si>
    <t>8E00108513</t>
  </si>
  <si>
    <t>8E00108692</t>
  </si>
  <si>
    <t>8E00108079</t>
  </si>
  <si>
    <t>1/180450</t>
  </si>
  <si>
    <t>118/19</t>
  </si>
  <si>
    <t>06P</t>
  </si>
  <si>
    <t xml:space="preserve"> SICONTRAF S.R.L.</t>
  </si>
  <si>
    <t>79/PA</t>
  </si>
  <si>
    <t>ACCADEMIA D'ARTI DISCANTO</t>
  </si>
  <si>
    <t>000001-2018-FEACCAD</t>
  </si>
  <si>
    <t>38/E</t>
  </si>
  <si>
    <t>ESSEFFE  VEA S.R.L.</t>
  </si>
  <si>
    <t>FC-2018-0003503-0</t>
  </si>
  <si>
    <t>ISTITUTO POLIGRAFICO E ZECCA DELLO STATO</t>
  </si>
  <si>
    <t>90/PA</t>
  </si>
  <si>
    <t>80/PA</t>
  </si>
  <si>
    <t>85/PA</t>
  </si>
  <si>
    <t>CONSORZIO EUROBUS VERONA SOC. COOP.</t>
  </si>
  <si>
    <t>197/FE</t>
  </si>
  <si>
    <t>KYOCERA DOCUMENT SOLUTIONS ITALIA S.P.A.</t>
  </si>
  <si>
    <t>249/19</t>
  </si>
  <si>
    <t>PAIOLA BRUNO S.A.S.</t>
  </si>
  <si>
    <t>42/E</t>
  </si>
  <si>
    <t>1/180843</t>
  </si>
  <si>
    <t>A18PMS0000767</t>
  </si>
  <si>
    <t>BOXXAPPS SRL</t>
  </si>
  <si>
    <t>1/180334</t>
  </si>
  <si>
    <t>VERDEARANCIO SOCIETA'COOPERATIVA SOCIALE -ONLUS</t>
  </si>
  <si>
    <t>10/18/PA</t>
  </si>
  <si>
    <t>108/FE</t>
  </si>
  <si>
    <t>SEGNALETICA STRADALE CONSELVANA DI DESTRO PAOLO &amp; C</t>
  </si>
  <si>
    <t>08/18/PA</t>
  </si>
  <si>
    <t>BELLISSIMA TERRA COOPERATIVA SOCIALE A R.L.</t>
  </si>
  <si>
    <t>12/18/PA</t>
  </si>
  <si>
    <t>* RISULTATO 2o TRIMESTRE *</t>
  </si>
  <si>
    <t>***************</t>
  </si>
  <si>
    <t>Mand.</t>
  </si>
  <si>
    <t xml:space="preserve">prot. </t>
  </si>
  <si>
    <t>Eliminata con nota di accredito, quindi neutra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</si>
</sst>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1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11" fontId="0" fillId="0" borderId="10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4" fontId="0" fillId="0" borderId="15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43" fontId="18" fillId="0" borderId="0" xfId="1" applyFont="1" applyFill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4"/>
  <sheetViews>
    <sheetView tabSelected="1" workbookViewId="0">
      <pane ySplit="1" topLeftCell="A2" activePane="bottomLeft" state="frozen"/>
      <selection pane="bottomLeft" activeCell="U3" sqref="U3"/>
    </sheetView>
  </sheetViews>
  <sheetFormatPr defaultRowHeight="15" x14ac:dyDescent="0.25"/>
  <cols>
    <col min="1" max="1" width="48.7109375" style="1" customWidth="1"/>
    <col min="2" max="2" width="6.5703125" style="1" hidden="1" customWidth="1"/>
    <col min="3" max="3" width="10.42578125" style="1" hidden="1" customWidth="1"/>
    <col min="4" max="4" width="20.85546875" style="1" bestFit="1" customWidth="1"/>
    <col min="5" max="5" width="11.42578125" style="1" hidden="1" customWidth="1"/>
    <col min="6" max="6" width="12" style="1" customWidth="1"/>
    <col min="7" max="7" width="11.28515625" style="1" customWidth="1"/>
    <col min="8" max="8" width="2.140625" style="1" bestFit="1" customWidth="1"/>
    <col min="9" max="9" width="10.140625" style="1" hidden="1" customWidth="1"/>
    <col min="10" max="10" width="0" style="1" hidden="1" customWidth="1"/>
    <col min="11" max="11" width="10.140625" style="1" bestFit="1" customWidth="1"/>
    <col min="12" max="12" width="11.42578125" style="1" bestFit="1" customWidth="1"/>
    <col min="13" max="13" width="12.42578125" style="1" bestFit="1" customWidth="1"/>
    <col min="14" max="14" width="10.7109375" style="1" hidden="1" customWidth="1"/>
    <col min="15" max="16" width="6.42578125" style="1" hidden="1" customWidth="1"/>
    <col min="17" max="17" width="9.140625" style="1" hidden="1" customWidth="1"/>
    <col min="18" max="16384" width="9.140625" style="1"/>
  </cols>
  <sheetData>
    <row r="1" spans="1:16" s="17" customFormat="1" ht="30" x14ac:dyDescent="0.25">
      <c r="A1" s="14" t="s">
        <v>0</v>
      </c>
      <c r="B1" s="15" t="s">
        <v>190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/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6" t="s">
        <v>191</v>
      </c>
    </row>
    <row r="2" spans="1:16" s="7" customFormat="1" x14ac:dyDescent="0.25">
      <c r="A2" s="3" t="s">
        <v>19</v>
      </c>
      <c r="B2" s="4">
        <v>756</v>
      </c>
      <c r="C2" s="5">
        <v>43257</v>
      </c>
      <c r="D2" s="4" t="s">
        <v>20</v>
      </c>
      <c r="E2" s="5">
        <v>43131</v>
      </c>
      <c r="F2" s="5">
        <v>43257</v>
      </c>
      <c r="G2" s="5">
        <v>43159</v>
      </c>
      <c r="H2" s="4" t="s">
        <v>12</v>
      </c>
      <c r="I2" s="6">
        <v>2990.22</v>
      </c>
      <c r="J2" s="4">
        <v>539.22</v>
      </c>
      <c r="K2" s="6">
        <v>2451</v>
      </c>
      <c r="L2" s="4">
        <v>98</v>
      </c>
      <c r="M2" s="6">
        <f>+L2*K2</f>
        <v>240198</v>
      </c>
      <c r="O2" s="4">
        <f>+G2-E2</f>
        <v>28</v>
      </c>
      <c r="P2" s="4">
        <f>+N2-G2</f>
        <v>-43159</v>
      </c>
    </row>
    <row r="3" spans="1:16" s="7" customFormat="1" x14ac:dyDescent="0.25">
      <c r="A3" s="3" t="s">
        <v>22</v>
      </c>
      <c r="B3" s="4">
        <v>748</v>
      </c>
      <c r="C3" s="5">
        <v>43252</v>
      </c>
      <c r="D3" s="4" t="str">
        <f>"8418000114"</f>
        <v>8418000114</v>
      </c>
      <c r="E3" s="5">
        <v>43159</v>
      </c>
      <c r="F3" s="5">
        <v>43252</v>
      </c>
      <c r="G3" s="5">
        <v>43189</v>
      </c>
      <c r="H3" s="4" t="s">
        <v>12</v>
      </c>
      <c r="I3" s="4">
        <v>158.6</v>
      </c>
      <c r="J3" s="4">
        <v>28.6</v>
      </c>
      <c r="K3" s="4">
        <v>130</v>
      </c>
      <c r="L3" s="4">
        <v>63</v>
      </c>
      <c r="M3" s="6">
        <f>+L3*K3</f>
        <v>8190</v>
      </c>
      <c r="O3" s="4">
        <f>+G3-E3</f>
        <v>30</v>
      </c>
      <c r="P3" s="4">
        <f>+N3-G3</f>
        <v>-43189</v>
      </c>
    </row>
    <row r="4" spans="1:16" s="7" customFormat="1" x14ac:dyDescent="0.25">
      <c r="A4" s="3" t="s">
        <v>23</v>
      </c>
      <c r="B4" s="4">
        <v>506</v>
      </c>
      <c r="C4" s="5">
        <v>43211</v>
      </c>
      <c r="D4" s="4" t="s">
        <v>24</v>
      </c>
      <c r="E4" s="5">
        <v>43132</v>
      </c>
      <c r="F4" s="5">
        <v>43211</v>
      </c>
      <c r="G4" s="5">
        <v>43162</v>
      </c>
      <c r="H4" s="4" t="s">
        <v>12</v>
      </c>
      <c r="I4" s="4">
        <v>673.56</v>
      </c>
      <c r="J4" s="4">
        <v>121.46</v>
      </c>
      <c r="K4" s="4">
        <v>552.1</v>
      </c>
      <c r="L4" s="4">
        <v>49</v>
      </c>
      <c r="M4" s="6">
        <f>+L4*K4</f>
        <v>27052.9</v>
      </c>
      <c r="N4" s="8">
        <v>43132</v>
      </c>
      <c r="O4" s="4">
        <f>+G4-E4</f>
        <v>30</v>
      </c>
      <c r="P4" s="4">
        <f>+N4-G4</f>
        <v>-30</v>
      </c>
    </row>
    <row r="5" spans="1:16" s="7" customFormat="1" x14ac:dyDescent="0.25">
      <c r="A5" s="3" t="s">
        <v>21</v>
      </c>
      <c r="B5" s="4">
        <v>714</v>
      </c>
      <c r="C5" s="5">
        <v>43251</v>
      </c>
      <c r="D5" s="4" t="str">
        <f>"3522018"</f>
        <v>3522018</v>
      </c>
      <c r="E5" s="5">
        <v>43172</v>
      </c>
      <c r="F5" s="5">
        <v>43252</v>
      </c>
      <c r="G5" s="5">
        <v>43204</v>
      </c>
      <c r="H5" s="4" t="s">
        <v>12</v>
      </c>
      <c r="I5" s="4">
        <v>866.8</v>
      </c>
      <c r="J5" s="4">
        <v>70.180000000000007</v>
      </c>
      <c r="K5" s="4">
        <v>796.62</v>
      </c>
      <c r="L5" s="4">
        <v>48</v>
      </c>
      <c r="M5" s="6">
        <f>+L5*K5</f>
        <v>38237.760000000002</v>
      </c>
      <c r="N5" s="8">
        <v>43174</v>
      </c>
      <c r="O5" s="4">
        <f>+G5-E5</f>
        <v>32</v>
      </c>
      <c r="P5" s="4">
        <f>+N5-G5</f>
        <v>-30</v>
      </c>
    </row>
    <row r="6" spans="1:16" s="7" customFormat="1" x14ac:dyDescent="0.25">
      <c r="A6" s="3" t="s">
        <v>21</v>
      </c>
      <c r="B6" s="4">
        <v>714</v>
      </c>
      <c r="C6" s="5">
        <v>43251</v>
      </c>
      <c r="D6" s="4" t="str">
        <f>"3922018"</f>
        <v>3922018</v>
      </c>
      <c r="E6" s="5">
        <v>43172</v>
      </c>
      <c r="F6" s="5">
        <v>43252</v>
      </c>
      <c r="G6" s="5">
        <v>43204</v>
      </c>
      <c r="H6" s="4" t="s">
        <v>12</v>
      </c>
      <c r="I6" s="4">
        <v>753.98</v>
      </c>
      <c r="J6" s="4">
        <v>61.02</v>
      </c>
      <c r="K6" s="4">
        <v>692.96</v>
      </c>
      <c r="L6" s="4">
        <v>48</v>
      </c>
      <c r="M6" s="6">
        <f>+L6*K6</f>
        <v>33262.080000000002</v>
      </c>
      <c r="N6" s="8">
        <v>43174</v>
      </c>
      <c r="O6" s="4">
        <f>+G6-E6</f>
        <v>32</v>
      </c>
      <c r="P6" s="4">
        <f>+N6-G6</f>
        <v>-30</v>
      </c>
    </row>
    <row r="7" spans="1:16" s="7" customFormat="1" x14ac:dyDescent="0.25">
      <c r="A7" s="3" t="s">
        <v>21</v>
      </c>
      <c r="B7" s="4">
        <v>714</v>
      </c>
      <c r="C7" s="5">
        <v>43251</v>
      </c>
      <c r="D7" s="4" t="str">
        <f>"4112018"</f>
        <v>4112018</v>
      </c>
      <c r="E7" s="5">
        <v>43172</v>
      </c>
      <c r="F7" s="5">
        <v>43252</v>
      </c>
      <c r="G7" s="5">
        <v>43204</v>
      </c>
      <c r="H7" s="4" t="s">
        <v>12</v>
      </c>
      <c r="I7" s="6">
        <v>1097.18</v>
      </c>
      <c r="J7" s="4">
        <v>88.87</v>
      </c>
      <c r="K7" s="6">
        <v>1008.31</v>
      </c>
      <c r="L7" s="4">
        <v>48</v>
      </c>
      <c r="M7" s="6">
        <f>+L7*K7</f>
        <v>48398.879999999997</v>
      </c>
      <c r="N7" s="8">
        <v>43174</v>
      </c>
      <c r="O7" s="4">
        <f>+G7-E7</f>
        <v>32</v>
      </c>
      <c r="P7" s="4">
        <f>+N7-G7</f>
        <v>-30</v>
      </c>
    </row>
    <row r="8" spans="1:16" s="7" customFormat="1" ht="30" x14ac:dyDescent="0.25">
      <c r="A8" s="3" t="s">
        <v>31</v>
      </c>
      <c r="B8" s="4">
        <v>441</v>
      </c>
      <c r="C8" s="5">
        <v>43197</v>
      </c>
      <c r="D8" s="4" t="str">
        <f>"8018018239"</f>
        <v>8018018239</v>
      </c>
      <c r="E8" s="5">
        <v>43125</v>
      </c>
      <c r="F8" s="5">
        <v>43197</v>
      </c>
      <c r="G8" s="5">
        <v>43155</v>
      </c>
      <c r="H8" s="4" t="s">
        <v>15</v>
      </c>
      <c r="I8" s="4">
        <v>27.57</v>
      </c>
      <c r="J8" s="4">
        <v>27.57</v>
      </c>
      <c r="K8" s="4">
        <v>0</v>
      </c>
      <c r="L8" s="4">
        <v>42</v>
      </c>
      <c r="M8" s="6">
        <f>+L8*K8</f>
        <v>0</v>
      </c>
      <c r="O8" s="4">
        <f>+G8-E8</f>
        <v>30</v>
      </c>
      <c r="P8" s="4">
        <f>+N8-G8</f>
        <v>-43155</v>
      </c>
    </row>
    <row r="9" spans="1:16" s="7" customFormat="1" ht="30" x14ac:dyDescent="0.25">
      <c r="A9" s="3" t="s">
        <v>31</v>
      </c>
      <c r="B9" s="4">
        <v>440</v>
      </c>
      <c r="C9" s="5">
        <v>43197</v>
      </c>
      <c r="D9" s="4" t="str">
        <f>"8018021771"</f>
        <v>8018021771</v>
      </c>
      <c r="E9" s="5">
        <v>43125</v>
      </c>
      <c r="F9" s="5">
        <v>43197</v>
      </c>
      <c r="G9" s="5">
        <v>43155</v>
      </c>
      <c r="H9" s="4" t="s">
        <v>15</v>
      </c>
      <c r="I9" s="4">
        <v>25.53</v>
      </c>
      <c r="J9" s="4">
        <v>25.53</v>
      </c>
      <c r="K9" s="4">
        <v>0</v>
      </c>
      <c r="L9" s="4">
        <v>42</v>
      </c>
      <c r="M9" s="6">
        <f>+L9*K9</f>
        <v>0</v>
      </c>
      <c r="O9" s="4">
        <f>+G9-E9</f>
        <v>30</v>
      </c>
      <c r="P9" s="4">
        <f>+N9-G9</f>
        <v>-43155</v>
      </c>
    </row>
    <row r="10" spans="1:16" s="7" customFormat="1" ht="30" x14ac:dyDescent="0.25">
      <c r="A10" s="3" t="s">
        <v>31</v>
      </c>
      <c r="B10" s="4">
        <v>439</v>
      </c>
      <c r="C10" s="5">
        <v>43197</v>
      </c>
      <c r="D10" s="4" t="str">
        <f>"8018018334"</f>
        <v>8018018334</v>
      </c>
      <c r="E10" s="5">
        <v>43125</v>
      </c>
      <c r="F10" s="5">
        <v>43197</v>
      </c>
      <c r="G10" s="5">
        <v>43155</v>
      </c>
      <c r="H10" s="4" t="s">
        <v>15</v>
      </c>
      <c r="I10" s="4">
        <v>10.84</v>
      </c>
      <c r="J10" s="4">
        <v>10.84</v>
      </c>
      <c r="K10" s="4">
        <v>0</v>
      </c>
      <c r="L10" s="4">
        <v>42</v>
      </c>
      <c r="M10" s="6">
        <f>+L10*K10</f>
        <v>0</v>
      </c>
      <c r="O10" s="4">
        <f>+G10-E10</f>
        <v>30</v>
      </c>
      <c r="P10" s="4">
        <f>+N10-G10</f>
        <v>-43155</v>
      </c>
    </row>
    <row r="11" spans="1:16" s="7" customFormat="1" x14ac:dyDescent="0.25">
      <c r="A11" s="3" t="s">
        <v>33</v>
      </c>
      <c r="B11" s="4">
        <v>694</v>
      </c>
      <c r="C11" s="5">
        <v>43250</v>
      </c>
      <c r="D11" s="4" t="s">
        <v>34</v>
      </c>
      <c r="E11" s="5">
        <v>43131</v>
      </c>
      <c r="F11" s="5">
        <v>43251</v>
      </c>
      <c r="G11" s="5">
        <v>43212</v>
      </c>
      <c r="H11" s="4" t="s">
        <v>12</v>
      </c>
      <c r="I11" s="4">
        <v>931.44</v>
      </c>
      <c r="J11" s="4">
        <v>35.82</v>
      </c>
      <c r="K11" s="4">
        <v>895.62</v>
      </c>
      <c r="L11" s="4">
        <v>39</v>
      </c>
      <c r="M11" s="6">
        <f>+L11*K11</f>
        <v>34929.18</v>
      </c>
      <c r="O11" s="4">
        <f>+G11-E11</f>
        <v>81</v>
      </c>
      <c r="P11" s="4">
        <f>+N11-G11</f>
        <v>-43212</v>
      </c>
    </row>
    <row r="12" spans="1:16" s="7" customFormat="1" x14ac:dyDescent="0.25">
      <c r="A12" s="3" t="s">
        <v>38</v>
      </c>
      <c r="B12" s="4">
        <v>690</v>
      </c>
      <c r="C12" s="5">
        <v>43250</v>
      </c>
      <c r="D12" s="4" t="s">
        <v>39</v>
      </c>
      <c r="E12" s="5">
        <v>43189</v>
      </c>
      <c r="F12" s="5">
        <v>43251</v>
      </c>
      <c r="G12" s="5">
        <v>43220</v>
      </c>
      <c r="H12" s="4" t="s">
        <v>12</v>
      </c>
      <c r="I12" s="6">
        <v>1392.02</v>
      </c>
      <c r="J12" s="4">
        <v>251.02</v>
      </c>
      <c r="K12" s="6">
        <v>1141</v>
      </c>
      <c r="L12" s="4">
        <v>31</v>
      </c>
      <c r="M12" s="6">
        <f>+L12*K12</f>
        <v>35371</v>
      </c>
      <c r="O12" s="4">
        <f>+G12-E12</f>
        <v>31</v>
      </c>
      <c r="P12" s="4">
        <f>+N12-G12</f>
        <v>-43220</v>
      </c>
    </row>
    <row r="13" spans="1:16" s="7" customFormat="1" x14ac:dyDescent="0.25">
      <c r="A13" s="3" t="s">
        <v>23</v>
      </c>
      <c r="B13" s="4">
        <v>717</v>
      </c>
      <c r="C13" s="5">
        <v>43251</v>
      </c>
      <c r="D13" s="4" t="s">
        <v>32</v>
      </c>
      <c r="E13" s="5">
        <v>43193</v>
      </c>
      <c r="F13" s="5">
        <v>43252</v>
      </c>
      <c r="G13" s="5">
        <v>43223</v>
      </c>
      <c r="H13" s="4" t="s">
        <v>12</v>
      </c>
      <c r="I13" s="4">
        <v>313.47000000000003</v>
      </c>
      <c r="J13" s="4">
        <v>56.53</v>
      </c>
      <c r="K13" s="4">
        <v>256.94</v>
      </c>
      <c r="L13" s="4">
        <v>29</v>
      </c>
      <c r="M13" s="6">
        <f>+L13*K13</f>
        <v>7451.26</v>
      </c>
      <c r="O13" s="4">
        <f>+G13-E13</f>
        <v>30</v>
      </c>
      <c r="P13" s="4">
        <f>+N13-G13</f>
        <v>-43223</v>
      </c>
    </row>
    <row r="14" spans="1:16" s="7" customFormat="1" x14ac:dyDescent="0.25">
      <c r="A14" s="3" t="s">
        <v>40</v>
      </c>
      <c r="B14" s="4">
        <v>691</v>
      </c>
      <c r="C14" s="5">
        <v>43250</v>
      </c>
      <c r="D14" s="4" t="s">
        <v>41</v>
      </c>
      <c r="E14" s="5">
        <v>43193</v>
      </c>
      <c r="F14" s="5">
        <v>43251</v>
      </c>
      <c r="G14" s="5">
        <v>43223</v>
      </c>
      <c r="H14" s="4" t="s">
        <v>12</v>
      </c>
      <c r="I14" s="6">
        <v>2926.38</v>
      </c>
      <c r="J14" s="4">
        <v>527.71</v>
      </c>
      <c r="K14" s="6">
        <v>2398.67</v>
      </c>
      <c r="L14" s="4">
        <v>28</v>
      </c>
      <c r="M14" s="6">
        <f>+L14*K14</f>
        <v>67162.760000000009</v>
      </c>
      <c r="O14" s="4">
        <f>+G14-E14</f>
        <v>30</v>
      </c>
      <c r="P14" s="4">
        <f>+N14-G14</f>
        <v>-43223</v>
      </c>
    </row>
    <row r="15" spans="1:16" s="7" customFormat="1" x14ac:dyDescent="0.25">
      <c r="A15" s="3" t="s">
        <v>37</v>
      </c>
      <c r="B15" s="4">
        <v>454</v>
      </c>
      <c r="C15" s="5">
        <v>43197</v>
      </c>
      <c r="D15" s="4" t="str">
        <f>"18009"</f>
        <v>18009</v>
      </c>
      <c r="E15" s="5">
        <v>43131</v>
      </c>
      <c r="F15" s="5">
        <v>43197</v>
      </c>
      <c r="G15" s="5">
        <v>43170</v>
      </c>
      <c r="H15" s="4" t="s">
        <v>12</v>
      </c>
      <c r="I15" s="6">
        <v>4062.59</v>
      </c>
      <c r="J15" s="4">
        <v>732.6</v>
      </c>
      <c r="K15" s="6">
        <v>3329.99</v>
      </c>
      <c r="L15" s="4">
        <v>27</v>
      </c>
      <c r="M15" s="6">
        <f>+L15*K15</f>
        <v>89909.73</v>
      </c>
      <c r="N15" s="8">
        <v>43140</v>
      </c>
      <c r="O15" s="4">
        <f>+G15-E15</f>
        <v>39</v>
      </c>
      <c r="P15" s="4">
        <f>+N15-G15</f>
        <v>-30</v>
      </c>
    </row>
    <row r="16" spans="1:16" s="7" customFormat="1" ht="45" x14ac:dyDescent="0.25">
      <c r="A16" s="3" t="s">
        <v>31</v>
      </c>
      <c r="B16" s="4">
        <v>442</v>
      </c>
      <c r="C16" s="5">
        <v>43197</v>
      </c>
      <c r="D16" s="4" t="str">
        <f>"8018029745"</f>
        <v>8018029745</v>
      </c>
      <c r="E16" s="5">
        <v>43140</v>
      </c>
      <c r="F16" s="5">
        <v>43197</v>
      </c>
      <c r="G16" s="5">
        <v>43170</v>
      </c>
      <c r="H16" s="4" t="s">
        <v>15</v>
      </c>
      <c r="I16" s="4">
        <v>3.99</v>
      </c>
      <c r="J16" s="4">
        <v>3.99</v>
      </c>
      <c r="K16" s="4">
        <v>0</v>
      </c>
      <c r="L16" s="4">
        <v>27</v>
      </c>
      <c r="M16" s="6">
        <f>+L16*K16</f>
        <v>0</v>
      </c>
      <c r="O16" s="4">
        <f>+G16-E16</f>
        <v>30</v>
      </c>
      <c r="P16" s="4">
        <f>+N16-G16</f>
        <v>-43170</v>
      </c>
    </row>
    <row r="17" spans="1:16" s="7" customFormat="1" x14ac:dyDescent="0.25">
      <c r="A17" s="3" t="s">
        <v>35</v>
      </c>
      <c r="B17" s="4">
        <v>501</v>
      </c>
      <c r="C17" s="5">
        <v>43211</v>
      </c>
      <c r="D17" s="4" t="s">
        <v>36</v>
      </c>
      <c r="E17" s="5">
        <v>43146</v>
      </c>
      <c r="F17" s="5">
        <v>43211</v>
      </c>
      <c r="G17" s="5">
        <v>43190</v>
      </c>
      <c r="H17" s="4" t="s">
        <v>12</v>
      </c>
      <c r="I17" s="6">
        <v>1522.56</v>
      </c>
      <c r="J17" s="4">
        <v>274.56</v>
      </c>
      <c r="K17" s="6">
        <v>1248</v>
      </c>
      <c r="L17" s="4">
        <v>21</v>
      </c>
      <c r="M17" s="6">
        <f>+L17*K17</f>
        <v>26208</v>
      </c>
      <c r="N17" s="8">
        <v>43160</v>
      </c>
      <c r="O17" s="4">
        <f>+G17-E17</f>
        <v>44</v>
      </c>
      <c r="P17" s="4">
        <f>+N17-G17</f>
        <v>-30</v>
      </c>
    </row>
    <row r="18" spans="1:16" s="7" customFormat="1" x14ac:dyDescent="0.25">
      <c r="A18" s="3" t="s">
        <v>43</v>
      </c>
      <c r="B18" s="4">
        <v>502</v>
      </c>
      <c r="C18" s="5">
        <v>43211</v>
      </c>
      <c r="D18" s="4" t="str">
        <f>"0002100467"</f>
        <v>0002100467</v>
      </c>
      <c r="E18" s="5">
        <v>43159</v>
      </c>
      <c r="F18" s="5">
        <v>43211</v>
      </c>
      <c r="G18" s="5">
        <v>43190</v>
      </c>
      <c r="H18" s="4" t="s">
        <v>12</v>
      </c>
      <c r="I18" s="4">
        <v>719.8</v>
      </c>
      <c r="J18" s="4">
        <v>129.80000000000001</v>
      </c>
      <c r="K18" s="4">
        <v>590</v>
      </c>
      <c r="L18" s="4">
        <v>21</v>
      </c>
      <c r="M18" s="6">
        <f>+L18*K18</f>
        <v>12390</v>
      </c>
      <c r="O18" s="4">
        <f>+G18-E18</f>
        <v>31</v>
      </c>
      <c r="P18" s="4">
        <f>+N18-G18</f>
        <v>-43190</v>
      </c>
    </row>
    <row r="19" spans="1:16" s="7" customFormat="1" x14ac:dyDescent="0.25">
      <c r="A19" s="3" t="s">
        <v>37</v>
      </c>
      <c r="B19" s="4">
        <v>976</v>
      </c>
      <c r="C19" s="5">
        <v>43281</v>
      </c>
      <c r="D19" s="4" t="str">
        <f>"18067"</f>
        <v>18067</v>
      </c>
      <c r="E19" s="5">
        <v>43220</v>
      </c>
      <c r="F19" s="5">
        <v>43281</v>
      </c>
      <c r="G19" s="5">
        <v>43261</v>
      </c>
      <c r="H19" s="4" t="s">
        <v>12</v>
      </c>
      <c r="I19" s="6">
        <v>2040.99</v>
      </c>
      <c r="J19" s="4">
        <v>368.05</v>
      </c>
      <c r="K19" s="6">
        <v>1672.94</v>
      </c>
      <c r="L19" s="4">
        <v>20</v>
      </c>
      <c r="M19" s="6">
        <f>+L19*K19</f>
        <v>33458.800000000003</v>
      </c>
      <c r="N19" s="8">
        <v>43231</v>
      </c>
      <c r="O19" s="4">
        <f>+G19-E19</f>
        <v>41</v>
      </c>
      <c r="P19" s="4">
        <f>+N19-G19</f>
        <v>-30</v>
      </c>
    </row>
    <row r="20" spans="1:16" s="7" customFormat="1" x14ac:dyDescent="0.25">
      <c r="A20" s="3" t="s">
        <v>27</v>
      </c>
      <c r="B20" s="4">
        <v>788</v>
      </c>
      <c r="C20" s="5">
        <v>43267</v>
      </c>
      <c r="D20" s="4" t="s">
        <v>28</v>
      </c>
      <c r="E20" s="5">
        <v>43217</v>
      </c>
      <c r="F20" s="5">
        <v>43267</v>
      </c>
      <c r="G20" s="5">
        <v>43250</v>
      </c>
      <c r="H20" s="4" t="s">
        <v>12</v>
      </c>
      <c r="I20" s="4">
        <v>60.02</v>
      </c>
      <c r="J20" s="4">
        <v>10.82</v>
      </c>
      <c r="K20" s="4">
        <v>49.2</v>
      </c>
      <c r="L20" s="4">
        <v>17</v>
      </c>
      <c r="M20" s="6">
        <f>+L20*K20</f>
        <v>836.40000000000009</v>
      </c>
      <c r="N20" s="8">
        <v>43220</v>
      </c>
      <c r="O20" s="4">
        <f>+G20-E20</f>
        <v>33</v>
      </c>
      <c r="P20" s="4">
        <f>+N20-G20</f>
        <v>-30</v>
      </c>
    </row>
    <row r="21" spans="1:16" s="7" customFormat="1" x14ac:dyDescent="0.25">
      <c r="A21" s="3" t="s">
        <v>21</v>
      </c>
      <c r="B21" s="4">
        <v>987</v>
      </c>
      <c r="C21" s="5">
        <v>43281</v>
      </c>
      <c r="D21" s="4" t="s">
        <v>46</v>
      </c>
      <c r="E21" s="5">
        <v>43234</v>
      </c>
      <c r="F21" s="5">
        <v>43281</v>
      </c>
      <c r="G21" s="5">
        <v>43265</v>
      </c>
      <c r="H21" s="4" t="s">
        <v>12</v>
      </c>
      <c r="I21" s="4">
        <v>747.8</v>
      </c>
      <c r="J21" s="4">
        <v>16.14</v>
      </c>
      <c r="K21" s="4">
        <v>731.66</v>
      </c>
      <c r="L21" s="4">
        <v>16</v>
      </c>
      <c r="M21" s="6">
        <f>+L21*K21</f>
        <v>11706.56</v>
      </c>
      <c r="O21" s="4">
        <f>+G21-E21</f>
        <v>31</v>
      </c>
      <c r="P21" s="4">
        <f>+N21-G21</f>
        <v>-43265</v>
      </c>
    </row>
    <row r="22" spans="1:16" s="7" customFormat="1" x14ac:dyDescent="0.25">
      <c r="A22" s="3" t="s">
        <v>21</v>
      </c>
      <c r="B22" s="4">
        <v>987</v>
      </c>
      <c r="C22" s="5">
        <v>43281</v>
      </c>
      <c r="D22" s="4" t="s">
        <v>47</v>
      </c>
      <c r="E22" s="5">
        <v>43234</v>
      </c>
      <c r="F22" s="5">
        <v>43281</v>
      </c>
      <c r="G22" s="5">
        <v>43265</v>
      </c>
      <c r="H22" s="4" t="s">
        <v>12</v>
      </c>
      <c r="I22" s="4">
        <v>763.5</v>
      </c>
      <c r="J22" s="4">
        <v>16.48</v>
      </c>
      <c r="K22" s="4">
        <v>747.02</v>
      </c>
      <c r="L22" s="4">
        <v>16</v>
      </c>
      <c r="M22" s="6">
        <f>+L22*K22</f>
        <v>11952.32</v>
      </c>
      <c r="O22" s="4">
        <f>+G22-E22</f>
        <v>31</v>
      </c>
      <c r="P22" s="4">
        <f>+N22-G22</f>
        <v>-43265</v>
      </c>
    </row>
    <row r="23" spans="1:16" s="7" customFormat="1" x14ac:dyDescent="0.25">
      <c r="A23" s="3" t="s">
        <v>21</v>
      </c>
      <c r="B23" s="4">
        <v>987</v>
      </c>
      <c r="C23" s="5">
        <v>43281</v>
      </c>
      <c r="D23" s="4" t="s">
        <v>48</v>
      </c>
      <c r="E23" s="5">
        <v>43234</v>
      </c>
      <c r="F23" s="5">
        <v>43281</v>
      </c>
      <c r="G23" s="5">
        <v>43265</v>
      </c>
      <c r="H23" s="4" t="s">
        <v>12</v>
      </c>
      <c r="I23" s="4">
        <v>866.32</v>
      </c>
      <c r="J23" s="4">
        <v>18.7</v>
      </c>
      <c r="K23" s="4">
        <v>847.62</v>
      </c>
      <c r="L23" s="4">
        <v>16</v>
      </c>
      <c r="M23" s="6">
        <f>+L23*K23</f>
        <v>13561.92</v>
      </c>
      <c r="O23" s="4">
        <f>+G23-E23</f>
        <v>31</v>
      </c>
      <c r="P23" s="4">
        <f>+N23-G23</f>
        <v>-43265</v>
      </c>
    </row>
    <row r="24" spans="1:16" s="7" customFormat="1" x14ac:dyDescent="0.25">
      <c r="A24" s="3" t="s">
        <v>49</v>
      </c>
      <c r="B24" s="4">
        <v>744</v>
      </c>
      <c r="C24" s="5">
        <v>43252</v>
      </c>
      <c r="D24" s="4" t="s">
        <v>50</v>
      </c>
      <c r="E24" s="5">
        <v>43206</v>
      </c>
      <c r="F24" s="5">
        <v>43252</v>
      </c>
      <c r="G24" s="5">
        <v>43236</v>
      </c>
      <c r="H24" s="4" t="s">
        <v>12</v>
      </c>
      <c r="I24" s="6">
        <v>7320</v>
      </c>
      <c r="J24" s="6">
        <v>1320</v>
      </c>
      <c r="K24" s="6">
        <v>6000</v>
      </c>
      <c r="L24" s="4">
        <v>16</v>
      </c>
      <c r="M24" s="6">
        <f>+L24*K24</f>
        <v>96000</v>
      </c>
      <c r="O24" s="4">
        <f>+G24-E24</f>
        <v>30</v>
      </c>
      <c r="P24" s="4">
        <f>+N24-G24</f>
        <v>-43236</v>
      </c>
    </row>
    <row r="25" spans="1:16" s="7" customFormat="1" x14ac:dyDescent="0.25">
      <c r="A25" s="3" t="s">
        <v>33</v>
      </c>
      <c r="B25" s="4">
        <v>694</v>
      </c>
      <c r="C25" s="5">
        <v>43250</v>
      </c>
      <c r="D25" s="4" t="s">
        <v>51</v>
      </c>
      <c r="E25" s="5">
        <v>43159</v>
      </c>
      <c r="F25" s="5">
        <v>43251</v>
      </c>
      <c r="G25" s="5">
        <v>43235</v>
      </c>
      <c r="H25" s="4" t="s">
        <v>12</v>
      </c>
      <c r="I25" s="4">
        <v>854.13</v>
      </c>
      <c r="J25" s="4">
        <v>32.85</v>
      </c>
      <c r="K25" s="4">
        <v>821.28</v>
      </c>
      <c r="L25" s="4">
        <v>16</v>
      </c>
      <c r="M25" s="6">
        <f>+L25*K25</f>
        <v>13140.48</v>
      </c>
      <c r="O25" s="4">
        <f>+G25-E25</f>
        <v>76</v>
      </c>
      <c r="P25" s="4">
        <f>+N25-G25</f>
        <v>-43235</v>
      </c>
    </row>
    <row r="26" spans="1:16" s="7" customFormat="1" x14ac:dyDescent="0.25">
      <c r="A26" s="3" t="s">
        <v>52</v>
      </c>
      <c r="B26" s="4">
        <v>777</v>
      </c>
      <c r="C26" s="5">
        <v>43266</v>
      </c>
      <c r="D26" s="4" t="str">
        <f>"20180007"</f>
        <v>20180007</v>
      </c>
      <c r="E26" s="5">
        <v>43190</v>
      </c>
      <c r="F26" s="5">
        <v>43266</v>
      </c>
      <c r="G26" s="5">
        <v>43251</v>
      </c>
      <c r="H26" s="4" t="s">
        <v>12</v>
      </c>
      <c r="I26" s="6">
        <v>92852.38</v>
      </c>
      <c r="J26" s="6">
        <v>8441.1299999999992</v>
      </c>
      <c r="K26" s="6">
        <v>84411.25</v>
      </c>
      <c r="L26" s="4">
        <v>15</v>
      </c>
      <c r="M26" s="6">
        <f>+L26*K26</f>
        <v>1266168.75</v>
      </c>
      <c r="O26" s="4">
        <f>+G26-E26</f>
        <v>61</v>
      </c>
      <c r="P26" s="4">
        <f>+N26-G26</f>
        <v>-43251</v>
      </c>
    </row>
    <row r="27" spans="1:16" s="7" customFormat="1" x14ac:dyDescent="0.25">
      <c r="A27" s="3" t="s">
        <v>53</v>
      </c>
      <c r="B27" s="4">
        <v>732</v>
      </c>
      <c r="C27" s="5">
        <v>43251</v>
      </c>
      <c r="D27" s="4" t="s">
        <v>54</v>
      </c>
      <c r="E27" s="5">
        <v>43207</v>
      </c>
      <c r="F27" s="5">
        <v>43252</v>
      </c>
      <c r="G27" s="5">
        <v>43237</v>
      </c>
      <c r="H27" s="4" t="s">
        <v>15</v>
      </c>
      <c r="I27" s="6">
        <v>1249.74</v>
      </c>
      <c r="J27" s="4">
        <v>178.66</v>
      </c>
      <c r="K27" s="6">
        <v>1071.08</v>
      </c>
      <c r="L27" s="4">
        <v>15</v>
      </c>
      <c r="M27" s="6">
        <f>+L27*K27</f>
        <v>16066.199999999999</v>
      </c>
      <c r="O27" s="4">
        <f>+G27-E27</f>
        <v>30</v>
      </c>
      <c r="P27" s="4">
        <f>+N27-G27</f>
        <v>-43237</v>
      </c>
    </row>
    <row r="28" spans="1:16" s="7" customFormat="1" x14ac:dyDescent="0.25">
      <c r="A28" s="3" t="s">
        <v>29</v>
      </c>
      <c r="B28" s="4">
        <v>980</v>
      </c>
      <c r="C28" s="5">
        <v>43281</v>
      </c>
      <c r="D28" s="4" t="s">
        <v>30</v>
      </c>
      <c r="E28" s="5">
        <v>43237</v>
      </c>
      <c r="F28" s="5">
        <v>43281</v>
      </c>
      <c r="G28" s="5">
        <v>43268</v>
      </c>
      <c r="H28" s="4" t="s">
        <v>12</v>
      </c>
      <c r="I28" s="4">
        <v>576.45000000000005</v>
      </c>
      <c r="J28" s="4">
        <v>103.95</v>
      </c>
      <c r="K28" s="4">
        <v>472.5</v>
      </c>
      <c r="L28" s="4">
        <v>13</v>
      </c>
      <c r="M28" s="6">
        <f>+L28*K28</f>
        <v>6142.5</v>
      </c>
      <c r="N28" s="8">
        <v>43238</v>
      </c>
      <c r="O28" s="4">
        <f>+G28-E28</f>
        <v>31</v>
      </c>
      <c r="P28" s="4">
        <f>+N28-G28</f>
        <v>-30</v>
      </c>
    </row>
    <row r="29" spans="1:16" s="7" customFormat="1" x14ac:dyDescent="0.25">
      <c r="A29" s="3" t="s">
        <v>42</v>
      </c>
      <c r="B29" s="4">
        <v>729</v>
      </c>
      <c r="C29" s="5">
        <v>43251</v>
      </c>
      <c r="D29" s="4" t="str">
        <f>"41801306148"</f>
        <v>41801306148</v>
      </c>
      <c r="E29" s="5">
        <v>43209</v>
      </c>
      <c r="F29" s="5">
        <v>43252</v>
      </c>
      <c r="G29" s="5">
        <v>43239</v>
      </c>
      <c r="H29" s="4" t="s">
        <v>12</v>
      </c>
      <c r="I29" s="4">
        <v>170.78</v>
      </c>
      <c r="J29" s="4">
        <v>24.86</v>
      </c>
      <c r="K29" s="4">
        <v>145.91999999999999</v>
      </c>
      <c r="L29" s="4">
        <v>13</v>
      </c>
      <c r="M29" s="6">
        <f>+L29*K29</f>
        <v>1896.9599999999998</v>
      </c>
      <c r="N29" s="8">
        <v>43209</v>
      </c>
      <c r="O29" s="4">
        <f>+G29-E29</f>
        <v>30</v>
      </c>
      <c r="P29" s="4">
        <f>+N29-G29</f>
        <v>-30</v>
      </c>
    </row>
    <row r="30" spans="1:16" s="7" customFormat="1" ht="30" x14ac:dyDescent="0.25">
      <c r="A30" s="3" t="s">
        <v>31</v>
      </c>
      <c r="B30" s="4">
        <v>698</v>
      </c>
      <c r="C30" s="5">
        <v>43250</v>
      </c>
      <c r="D30" s="4" t="str">
        <f>"8018075505"</f>
        <v>8018075505</v>
      </c>
      <c r="E30" s="5">
        <v>43207</v>
      </c>
      <c r="F30" s="5">
        <v>43251</v>
      </c>
      <c r="G30" s="5">
        <v>43238</v>
      </c>
      <c r="H30" s="4" t="s">
        <v>15</v>
      </c>
      <c r="I30" s="4">
        <v>13.75</v>
      </c>
      <c r="J30" s="4">
        <v>13.75</v>
      </c>
      <c r="K30" s="4">
        <v>0</v>
      </c>
      <c r="L30" s="4">
        <v>13</v>
      </c>
      <c r="M30" s="6">
        <f>+L30*K30</f>
        <v>0</v>
      </c>
      <c r="O30" s="4">
        <f>+G30-E30</f>
        <v>31</v>
      </c>
      <c r="P30" s="4">
        <f>+N30-G30</f>
        <v>-43238</v>
      </c>
    </row>
    <row r="31" spans="1:16" s="7" customFormat="1" x14ac:dyDescent="0.25">
      <c r="A31" s="3" t="s">
        <v>80</v>
      </c>
      <c r="B31" s="4">
        <v>715</v>
      </c>
      <c r="C31" s="5">
        <v>43251</v>
      </c>
      <c r="D31" s="4" t="s">
        <v>81</v>
      </c>
      <c r="E31" s="5">
        <v>43209</v>
      </c>
      <c r="F31" s="5">
        <v>43252</v>
      </c>
      <c r="G31" s="5">
        <v>43244</v>
      </c>
      <c r="H31" s="4" t="s">
        <v>15</v>
      </c>
      <c r="I31" s="6">
        <v>2387.15</v>
      </c>
      <c r="J31" s="4">
        <v>227.15</v>
      </c>
      <c r="K31" s="6">
        <v>2160</v>
      </c>
      <c r="L31" s="4">
        <v>8</v>
      </c>
      <c r="M31" s="6">
        <f>+L31*K31</f>
        <v>17280</v>
      </c>
      <c r="O31" s="4">
        <f>+G31-E31</f>
        <v>35</v>
      </c>
      <c r="P31" s="4">
        <f>+N31-G31</f>
        <v>-43244</v>
      </c>
    </row>
    <row r="32" spans="1:16" s="7" customFormat="1" x14ac:dyDescent="0.25">
      <c r="A32" s="3" t="s">
        <v>82</v>
      </c>
      <c r="B32" s="4">
        <v>751</v>
      </c>
      <c r="C32" s="5">
        <v>43257</v>
      </c>
      <c r="D32" s="4" t="str">
        <f>"08176"</f>
        <v>08176</v>
      </c>
      <c r="E32" s="5">
        <v>43220</v>
      </c>
      <c r="F32" s="5">
        <v>43257</v>
      </c>
      <c r="G32" s="5">
        <v>43250</v>
      </c>
      <c r="H32" s="4" t="s">
        <v>12</v>
      </c>
      <c r="I32" s="4">
        <v>201.3</v>
      </c>
      <c r="J32" s="4">
        <v>36.299999999999997</v>
      </c>
      <c r="K32" s="4">
        <v>165</v>
      </c>
      <c r="L32" s="4">
        <v>7</v>
      </c>
      <c r="M32" s="6">
        <f>+L32*K32</f>
        <v>1155</v>
      </c>
      <c r="O32" s="4">
        <f>+G32-E32</f>
        <v>30</v>
      </c>
      <c r="P32" s="4">
        <f>+N32-G32</f>
        <v>-43250</v>
      </c>
    </row>
    <row r="33" spans="1:16" s="7" customFormat="1" x14ac:dyDescent="0.25">
      <c r="A33" s="3" t="s">
        <v>83</v>
      </c>
      <c r="B33" s="4">
        <v>444</v>
      </c>
      <c r="C33" s="5">
        <v>43197</v>
      </c>
      <c r="D33" s="4" t="str">
        <f>"0002100589"</f>
        <v>0002100589</v>
      </c>
      <c r="E33" s="5">
        <v>43159</v>
      </c>
      <c r="F33" s="5">
        <v>43197</v>
      </c>
      <c r="G33" s="5">
        <v>43190</v>
      </c>
      <c r="H33" s="4" t="s">
        <v>12</v>
      </c>
      <c r="I33" s="4">
        <v>37.82</v>
      </c>
      <c r="J33" s="4">
        <v>6.82</v>
      </c>
      <c r="K33" s="4">
        <v>31</v>
      </c>
      <c r="L33" s="4">
        <v>7</v>
      </c>
      <c r="M33" s="6">
        <f>+L33*K33</f>
        <v>217</v>
      </c>
      <c r="O33" s="4">
        <f>+G33-E33</f>
        <v>31</v>
      </c>
      <c r="P33" s="4">
        <f>+N33-G33</f>
        <v>-43190</v>
      </c>
    </row>
    <row r="34" spans="1:16" s="7" customFormat="1" x14ac:dyDescent="0.25">
      <c r="A34" s="3" t="s">
        <v>84</v>
      </c>
      <c r="B34" s="4">
        <v>436</v>
      </c>
      <c r="C34" s="5">
        <v>43197</v>
      </c>
      <c r="D34" s="4" t="s">
        <v>85</v>
      </c>
      <c r="E34" s="5">
        <v>43131</v>
      </c>
      <c r="F34" s="5">
        <v>43197</v>
      </c>
      <c r="G34" s="5">
        <v>43190</v>
      </c>
      <c r="H34" s="4" t="s">
        <v>12</v>
      </c>
      <c r="I34" s="6">
        <v>6281.56</v>
      </c>
      <c r="J34" s="4">
        <v>299.12</v>
      </c>
      <c r="K34" s="6">
        <v>5982.44</v>
      </c>
      <c r="L34" s="4">
        <v>7</v>
      </c>
      <c r="M34" s="6">
        <f>+L34*K34</f>
        <v>41877.079999999994</v>
      </c>
      <c r="O34" s="4">
        <f>+G34-E34</f>
        <v>59</v>
      </c>
      <c r="P34" s="4">
        <f>+N34-G34</f>
        <v>-43190</v>
      </c>
    </row>
    <row r="35" spans="1:16" s="7" customFormat="1" x14ac:dyDescent="0.25">
      <c r="A35" s="3" t="s">
        <v>16</v>
      </c>
      <c r="B35" s="4">
        <v>464</v>
      </c>
      <c r="C35" s="5">
        <v>43197</v>
      </c>
      <c r="D35" s="4" t="s">
        <v>86</v>
      </c>
      <c r="E35" s="5">
        <v>43139</v>
      </c>
      <c r="F35" s="5">
        <v>43197</v>
      </c>
      <c r="G35" s="5">
        <v>43190</v>
      </c>
      <c r="H35" s="4" t="s">
        <v>12</v>
      </c>
      <c r="I35" s="6">
        <v>8378.91</v>
      </c>
      <c r="J35" s="4">
        <v>0</v>
      </c>
      <c r="K35" s="6">
        <v>8378.91</v>
      </c>
      <c r="L35" s="4">
        <v>7</v>
      </c>
      <c r="M35" s="6">
        <f>+L35*K35</f>
        <v>58652.369999999995</v>
      </c>
      <c r="O35" s="4">
        <f>+G35-E35</f>
        <v>51</v>
      </c>
      <c r="P35" s="4">
        <f>+N35-G35</f>
        <v>-43190</v>
      </c>
    </row>
    <row r="36" spans="1:16" s="7" customFormat="1" x14ac:dyDescent="0.25">
      <c r="A36" s="3" t="s">
        <v>37</v>
      </c>
      <c r="B36" s="4">
        <v>451</v>
      </c>
      <c r="C36" s="5">
        <v>43197</v>
      </c>
      <c r="D36" s="4" t="str">
        <f>"18008"</f>
        <v>18008</v>
      </c>
      <c r="E36" s="5">
        <v>43131</v>
      </c>
      <c r="F36" s="5">
        <v>43197</v>
      </c>
      <c r="G36" s="5">
        <v>43191</v>
      </c>
      <c r="H36" s="4" t="s">
        <v>12</v>
      </c>
      <c r="I36" s="6">
        <v>20048.990000000002</v>
      </c>
      <c r="J36" s="6">
        <v>3615.39</v>
      </c>
      <c r="K36" s="6">
        <v>16433.599999999999</v>
      </c>
      <c r="L36" s="4">
        <v>6</v>
      </c>
      <c r="M36" s="6">
        <f>+L36*K36</f>
        <v>98601.599999999991</v>
      </c>
      <c r="O36" s="4">
        <f>+G36-E36</f>
        <v>60</v>
      </c>
      <c r="P36" s="4">
        <f>+N36-G36</f>
        <v>-43191</v>
      </c>
    </row>
    <row r="37" spans="1:16" s="7" customFormat="1" x14ac:dyDescent="0.25">
      <c r="A37" s="3" t="s">
        <v>88</v>
      </c>
      <c r="B37" s="4">
        <v>753</v>
      </c>
      <c r="C37" s="5">
        <v>43257</v>
      </c>
      <c r="D37" s="4" t="s">
        <v>89</v>
      </c>
      <c r="E37" s="5">
        <v>43222</v>
      </c>
      <c r="F37" s="5">
        <v>43257</v>
      </c>
      <c r="G37" s="5">
        <v>43252</v>
      </c>
      <c r="H37" s="4" t="s">
        <v>15</v>
      </c>
      <c r="I37" s="6">
        <v>7198</v>
      </c>
      <c r="J37" s="6">
        <v>1298</v>
      </c>
      <c r="K37" s="6">
        <v>5900</v>
      </c>
      <c r="L37" s="4">
        <v>5</v>
      </c>
      <c r="M37" s="6">
        <f>+L37*K37</f>
        <v>29500</v>
      </c>
      <c r="O37" s="4">
        <f>+G37-E37</f>
        <v>30</v>
      </c>
      <c r="P37" s="4">
        <f>+N37-G37</f>
        <v>-43252</v>
      </c>
    </row>
    <row r="38" spans="1:16" s="7" customFormat="1" x14ac:dyDescent="0.25">
      <c r="A38" s="3" t="s">
        <v>11</v>
      </c>
      <c r="B38" s="4">
        <v>808</v>
      </c>
      <c r="C38" s="5">
        <v>43267</v>
      </c>
      <c r="D38" s="4" t="str">
        <f>"0350120180800296100"</f>
        <v>0350120180800296100</v>
      </c>
      <c r="E38" s="5">
        <v>43230</v>
      </c>
      <c r="F38" s="5">
        <v>43267</v>
      </c>
      <c r="G38" s="5">
        <v>43262</v>
      </c>
      <c r="H38" s="4" t="s">
        <v>12</v>
      </c>
      <c r="I38" s="4">
        <v>1.92</v>
      </c>
      <c r="J38" s="4">
        <v>7.0000000000000007E-2</v>
      </c>
      <c r="K38" s="4">
        <v>1.85</v>
      </c>
      <c r="L38" s="4">
        <v>5</v>
      </c>
      <c r="M38" s="6">
        <f>+L38*K38</f>
        <v>9.25</v>
      </c>
      <c r="O38" s="4">
        <f>+G38-E38</f>
        <v>32</v>
      </c>
      <c r="P38" s="4">
        <f>+N38-G38</f>
        <v>-43262</v>
      </c>
    </row>
    <row r="39" spans="1:16" s="7" customFormat="1" x14ac:dyDescent="0.25">
      <c r="A39" s="3" t="s">
        <v>11</v>
      </c>
      <c r="B39" s="4">
        <v>808</v>
      </c>
      <c r="C39" s="5">
        <v>43267</v>
      </c>
      <c r="D39" s="4" t="str">
        <f>"0350120180800297300"</f>
        <v>0350120180800297300</v>
      </c>
      <c r="E39" s="5">
        <v>43230</v>
      </c>
      <c r="F39" s="5">
        <v>43267</v>
      </c>
      <c r="G39" s="5">
        <v>43262</v>
      </c>
      <c r="H39" s="4" t="s">
        <v>12</v>
      </c>
      <c r="I39" s="4">
        <v>30.45</v>
      </c>
      <c r="J39" s="4">
        <v>0.09</v>
      </c>
      <c r="K39" s="4">
        <v>30.36</v>
      </c>
      <c r="L39" s="4">
        <v>5</v>
      </c>
      <c r="M39" s="6">
        <f>+L39*K39</f>
        <v>151.80000000000001</v>
      </c>
      <c r="O39" s="4">
        <f>+G39-E39</f>
        <v>32</v>
      </c>
      <c r="P39" s="4">
        <f>+N39-G39</f>
        <v>-43262</v>
      </c>
    </row>
    <row r="40" spans="1:16" s="7" customFormat="1" x14ac:dyDescent="0.25">
      <c r="A40" s="3" t="s">
        <v>11</v>
      </c>
      <c r="B40" s="4">
        <v>806</v>
      </c>
      <c r="C40" s="5">
        <v>43267</v>
      </c>
      <c r="D40" s="4" t="str">
        <f>"0350120180800324500"</f>
        <v>0350120180800324500</v>
      </c>
      <c r="E40" s="5">
        <v>43230</v>
      </c>
      <c r="F40" s="5">
        <v>43267</v>
      </c>
      <c r="G40" s="5">
        <v>43262</v>
      </c>
      <c r="H40" s="4" t="s">
        <v>12</v>
      </c>
      <c r="I40" s="4">
        <v>52.16</v>
      </c>
      <c r="J40" s="4">
        <v>3.92</v>
      </c>
      <c r="K40" s="4">
        <v>48.24</v>
      </c>
      <c r="L40" s="4">
        <v>5</v>
      </c>
      <c r="M40" s="6">
        <f>+L40*K40</f>
        <v>241.20000000000002</v>
      </c>
      <c r="O40" s="4">
        <f>+G40-E40</f>
        <v>32</v>
      </c>
      <c r="P40" s="4">
        <f>+N40-G40</f>
        <v>-43262</v>
      </c>
    </row>
    <row r="41" spans="1:16" s="7" customFormat="1" x14ac:dyDescent="0.25">
      <c r="A41" s="3" t="s">
        <v>11</v>
      </c>
      <c r="B41" s="4">
        <v>808</v>
      </c>
      <c r="C41" s="5">
        <v>43267</v>
      </c>
      <c r="D41" s="4" t="str">
        <f>"0350120180800297000"</f>
        <v>0350120180800297000</v>
      </c>
      <c r="E41" s="5">
        <v>43230</v>
      </c>
      <c r="F41" s="5">
        <v>43267</v>
      </c>
      <c r="G41" s="5">
        <v>43262</v>
      </c>
      <c r="H41" s="4" t="s">
        <v>12</v>
      </c>
      <c r="I41" s="4">
        <v>25.87</v>
      </c>
      <c r="J41" s="4">
        <v>2.29</v>
      </c>
      <c r="K41" s="4">
        <v>23.58</v>
      </c>
      <c r="L41" s="4">
        <v>5</v>
      </c>
      <c r="M41" s="6">
        <f>+L41*K41</f>
        <v>117.89999999999999</v>
      </c>
      <c r="O41" s="4">
        <f>+G41-E41</f>
        <v>32</v>
      </c>
      <c r="P41" s="4">
        <f>+N41-G41</f>
        <v>-43262</v>
      </c>
    </row>
    <row r="42" spans="1:16" s="7" customFormat="1" x14ac:dyDescent="0.25">
      <c r="A42" s="3" t="s">
        <v>11</v>
      </c>
      <c r="B42" s="4">
        <v>800</v>
      </c>
      <c r="C42" s="5">
        <v>43267</v>
      </c>
      <c r="D42" s="4" t="str">
        <f>"0350120180800296400"</f>
        <v>0350120180800296400</v>
      </c>
      <c r="E42" s="5">
        <v>43230</v>
      </c>
      <c r="F42" s="5">
        <v>43267</v>
      </c>
      <c r="G42" s="5">
        <v>43262</v>
      </c>
      <c r="H42" s="4" t="s">
        <v>12</v>
      </c>
      <c r="I42" s="4">
        <v>111.94</v>
      </c>
      <c r="J42" s="4">
        <v>6.38</v>
      </c>
      <c r="K42" s="4">
        <v>105.56</v>
      </c>
      <c r="L42" s="4">
        <v>5</v>
      </c>
      <c r="M42" s="6">
        <f>+L42*K42</f>
        <v>527.79999999999995</v>
      </c>
      <c r="O42" s="4">
        <f>+G42-E42</f>
        <v>32</v>
      </c>
      <c r="P42" s="4">
        <f>+N42-G42</f>
        <v>-43262</v>
      </c>
    </row>
    <row r="43" spans="1:16" s="7" customFormat="1" x14ac:dyDescent="0.25">
      <c r="A43" s="3" t="s">
        <v>11</v>
      </c>
      <c r="B43" s="4">
        <v>807</v>
      </c>
      <c r="C43" s="5">
        <v>43267</v>
      </c>
      <c r="D43" s="4" t="str">
        <f>"0350120180800296700"</f>
        <v>0350120180800296700</v>
      </c>
      <c r="E43" s="5">
        <v>43230</v>
      </c>
      <c r="F43" s="5">
        <v>43267</v>
      </c>
      <c r="G43" s="5">
        <v>43262</v>
      </c>
      <c r="H43" s="4" t="s">
        <v>12</v>
      </c>
      <c r="I43" s="4">
        <v>0.75</v>
      </c>
      <c r="J43" s="4">
        <v>0.03</v>
      </c>
      <c r="K43" s="4">
        <v>0.72</v>
      </c>
      <c r="L43" s="4">
        <v>5</v>
      </c>
      <c r="M43" s="6">
        <f>+L43*K43</f>
        <v>3.5999999999999996</v>
      </c>
      <c r="O43" s="4">
        <f>+G43-E43</f>
        <v>32</v>
      </c>
      <c r="P43" s="4">
        <f>+N43-G43</f>
        <v>-43262</v>
      </c>
    </row>
    <row r="44" spans="1:16" s="7" customFormat="1" x14ac:dyDescent="0.25">
      <c r="A44" s="3" t="s">
        <v>11</v>
      </c>
      <c r="B44" s="4">
        <v>807</v>
      </c>
      <c r="C44" s="5">
        <v>43267</v>
      </c>
      <c r="D44" s="4" t="str">
        <f>"0350120180800297400"</f>
        <v>0350120180800297400</v>
      </c>
      <c r="E44" s="5">
        <v>43230</v>
      </c>
      <c r="F44" s="5">
        <v>43267</v>
      </c>
      <c r="G44" s="5">
        <v>43262</v>
      </c>
      <c r="H44" s="4" t="s">
        <v>12</v>
      </c>
      <c r="I44" s="4">
        <v>9.7899999999999991</v>
      </c>
      <c r="J44" s="4">
        <v>-1.23</v>
      </c>
      <c r="K44" s="4">
        <v>11.02</v>
      </c>
      <c r="L44" s="4">
        <v>5</v>
      </c>
      <c r="M44" s="6">
        <f>+L44*K44</f>
        <v>55.099999999999994</v>
      </c>
      <c r="O44" s="4">
        <f>+G44-E44</f>
        <v>32</v>
      </c>
      <c r="P44" s="4">
        <f>+N44-G44</f>
        <v>-43262</v>
      </c>
    </row>
    <row r="45" spans="1:16" s="7" customFormat="1" x14ac:dyDescent="0.25">
      <c r="A45" s="3" t="s">
        <v>11</v>
      </c>
      <c r="B45" s="4">
        <v>808</v>
      </c>
      <c r="C45" s="5">
        <v>43267</v>
      </c>
      <c r="D45" s="4" t="str">
        <f>"0350120180800297600"</f>
        <v>0350120180800297600</v>
      </c>
      <c r="E45" s="5">
        <v>43230</v>
      </c>
      <c r="F45" s="5">
        <v>43267</v>
      </c>
      <c r="G45" s="5">
        <v>43262</v>
      </c>
      <c r="H45" s="4" t="s">
        <v>12</v>
      </c>
      <c r="I45" s="4">
        <v>358.27</v>
      </c>
      <c r="J45" s="4">
        <v>32.770000000000003</v>
      </c>
      <c r="K45" s="4">
        <v>325.5</v>
      </c>
      <c r="L45" s="4">
        <v>5</v>
      </c>
      <c r="M45" s="6">
        <f>+L45*K45</f>
        <v>1627.5</v>
      </c>
      <c r="O45" s="4">
        <f>+G45-E45</f>
        <v>32</v>
      </c>
      <c r="P45" s="4">
        <f>+N45-G45</f>
        <v>-43262</v>
      </c>
    </row>
    <row r="46" spans="1:16" s="7" customFormat="1" x14ac:dyDescent="0.25">
      <c r="A46" s="3" t="s">
        <v>11</v>
      </c>
      <c r="B46" s="4">
        <v>808</v>
      </c>
      <c r="C46" s="5">
        <v>43267</v>
      </c>
      <c r="D46" s="4" t="str">
        <f>"0350120180800297500"</f>
        <v>0350120180800297500</v>
      </c>
      <c r="E46" s="5">
        <v>43230</v>
      </c>
      <c r="F46" s="5">
        <v>43267</v>
      </c>
      <c r="G46" s="5">
        <v>43262</v>
      </c>
      <c r="H46" s="4" t="s">
        <v>12</v>
      </c>
      <c r="I46" s="4">
        <v>0.13</v>
      </c>
      <c r="J46" s="4">
        <v>0</v>
      </c>
      <c r="K46" s="4">
        <v>0.13</v>
      </c>
      <c r="L46" s="4">
        <v>5</v>
      </c>
      <c r="M46" s="6">
        <f>+L46*K46</f>
        <v>0.65</v>
      </c>
      <c r="O46" s="4">
        <f>+G46-E46</f>
        <v>32</v>
      </c>
      <c r="P46" s="4">
        <f>+N46-G46</f>
        <v>-43262</v>
      </c>
    </row>
    <row r="47" spans="1:16" s="7" customFormat="1" x14ac:dyDescent="0.25">
      <c r="A47" s="3" t="s">
        <v>11</v>
      </c>
      <c r="B47" s="4">
        <v>808</v>
      </c>
      <c r="C47" s="5">
        <v>43267</v>
      </c>
      <c r="D47" s="4" t="str">
        <f>"0350120180800296200"</f>
        <v>0350120180800296200</v>
      </c>
      <c r="E47" s="5">
        <v>43230</v>
      </c>
      <c r="F47" s="5">
        <v>43267</v>
      </c>
      <c r="G47" s="5">
        <v>43262</v>
      </c>
      <c r="H47" s="4" t="s">
        <v>12</v>
      </c>
      <c r="I47" s="4">
        <v>34.89</v>
      </c>
      <c r="J47" s="4">
        <v>2.88</v>
      </c>
      <c r="K47" s="4">
        <v>32.01</v>
      </c>
      <c r="L47" s="4">
        <v>5</v>
      </c>
      <c r="M47" s="6">
        <f>+L47*K47</f>
        <v>160.04999999999998</v>
      </c>
      <c r="O47" s="4">
        <f>+G47-E47</f>
        <v>32</v>
      </c>
      <c r="P47" s="4">
        <f>+N47-G47</f>
        <v>-43262</v>
      </c>
    </row>
    <row r="48" spans="1:16" s="7" customFormat="1" x14ac:dyDescent="0.25">
      <c r="A48" s="3" t="s">
        <v>11</v>
      </c>
      <c r="B48" s="4">
        <v>802</v>
      </c>
      <c r="C48" s="5">
        <v>43267</v>
      </c>
      <c r="D48" s="4" t="str">
        <f>"0350120180800296600"</f>
        <v>0350120180800296600</v>
      </c>
      <c r="E48" s="5">
        <v>43230</v>
      </c>
      <c r="F48" s="5">
        <v>43267</v>
      </c>
      <c r="G48" s="5">
        <v>43262</v>
      </c>
      <c r="H48" s="4" t="s">
        <v>12</v>
      </c>
      <c r="I48" s="4">
        <v>71.959999999999994</v>
      </c>
      <c r="J48" s="4">
        <v>5.28</v>
      </c>
      <c r="K48" s="4">
        <v>66.680000000000007</v>
      </c>
      <c r="L48" s="4">
        <v>5</v>
      </c>
      <c r="M48" s="6">
        <f>+L48*K48</f>
        <v>333.40000000000003</v>
      </c>
      <c r="O48" s="4">
        <f>+G48-E48</f>
        <v>32</v>
      </c>
      <c r="P48" s="4">
        <f>+N48-G48</f>
        <v>-43262</v>
      </c>
    </row>
    <row r="49" spans="1:16" s="7" customFormat="1" x14ac:dyDescent="0.25">
      <c r="A49" s="3" t="s">
        <v>11</v>
      </c>
      <c r="B49" s="4">
        <v>808</v>
      </c>
      <c r="C49" s="5">
        <v>43267</v>
      </c>
      <c r="D49" s="4" t="str">
        <f>"0350120180800296900"</f>
        <v>0350120180800296900</v>
      </c>
      <c r="E49" s="5">
        <v>43230</v>
      </c>
      <c r="F49" s="5">
        <v>43267</v>
      </c>
      <c r="G49" s="5">
        <v>43262</v>
      </c>
      <c r="H49" s="4" t="s">
        <v>12</v>
      </c>
      <c r="I49" s="4">
        <v>1.18</v>
      </c>
      <c r="J49" s="4">
        <v>0.11</v>
      </c>
      <c r="K49" s="4">
        <v>1.07</v>
      </c>
      <c r="L49" s="4">
        <v>5</v>
      </c>
      <c r="M49" s="6">
        <f>+L49*K49</f>
        <v>5.3500000000000005</v>
      </c>
      <c r="O49" s="4">
        <f>+G49-E49</f>
        <v>32</v>
      </c>
      <c r="P49" s="4">
        <f>+N49-G49</f>
        <v>-43262</v>
      </c>
    </row>
    <row r="50" spans="1:16" s="7" customFormat="1" x14ac:dyDescent="0.25">
      <c r="A50" s="3" t="s">
        <v>11</v>
      </c>
      <c r="B50" s="4">
        <v>801</v>
      </c>
      <c r="C50" s="5">
        <v>43267</v>
      </c>
      <c r="D50" s="4" t="str">
        <f>"0350120180800296500"</f>
        <v>0350120180800296500</v>
      </c>
      <c r="E50" s="5">
        <v>43230</v>
      </c>
      <c r="F50" s="5">
        <v>43267</v>
      </c>
      <c r="G50" s="5">
        <v>43262</v>
      </c>
      <c r="H50" s="4" t="s">
        <v>12</v>
      </c>
      <c r="I50" s="4">
        <v>308.32</v>
      </c>
      <c r="J50" s="4">
        <v>25.95</v>
      </c>
      <c r="K50" s="4">
        <v>282.37</v>
      </c>
      <c r="L50" s="4">
        <v>5</v>
      </c>
      <c r="M50" s="6">
        <f>+L50*K50</f>
        <v>1411.85</v>
      </c>
      <c r="O50" s="4">
        <f>+G50-E50</f>
        <v>32</v>
      </c>
      <c r="P50" s="4">
        <f>+N50-G50</f>
        <v>-43262</v>
      </c>
    </row>
    <row r="51" spans="1:16" s="7" customFormat="1" x14ac:dyDescent="0.25">
      <c r="A51" s="3" t="s">
        <v>11</v>
      </c>
      <c r="B51" s="4">
        <v>803</v>
      </c>
      <c r="C51" s="5">
        <v>43267</v>
      </c>
      <c r="D51" s="4" t="str">
        <f>"0350120180800295700"</f>
        <v>0350120180800295700</v>
      </c>
      <c r="E51" s="5">
        <v>43230</v>
      </c>
      <c r="F51" s="5">
        <v>43267</v>
      </c>
      <c r="G51" s="5">
        <v>43262</v>
      </c>
      <c r="H51" s="4" t="s">
        <v>12</v>
      </c>
      <c r="I51" s="4">
        <v>67.83</v>
      </c>
      <c r="J51" s="4">
        <v>5.78</v>
      </c>
      <c r="K51" s="4">
        <v>62.05</v>
      </c>
      <c r="L51" s="4">
        <v>5</v>
      </c>
      <c r="M51" s="6">
        <f>+L51*K51</f>
        <v>310.25</v>
      </c>
      <c r="O51" s="4">
        <f>+G51-E51</f>
        <v>32</v>
      </c>
      <c r="P51" s="4">
        <f>+N51-G51</f>
        <v>-43262</v>
      </c>
    </row>
    <row r="52" spans="1:16" s="7" customFormat="1" x14ac:dyDescent="0.25">
      <c r="A52" s="3" t="s">
        <v>11</v>
      </c>
      <c r="B52" s="4">
        <v>808</v>
      </c>
      <c r="C52" s="5">
        <v>43267</v>
      </c>
      <c r="D52" s="4" t="str">
        <f>"0350120180800295800"</f>
        <v>0350120180800295800</v>
      </c>
      <c r="E52" s="5">
        <v>43230</v>
      </c>
      <c r="F52" s="5">
        <v>43267</v>
      </c>
      <c r="G52" s="5">
        <v>43262</v>
      </c>
      <c r="H52" s="4" t="s">
        <v>12</v>
      </c>
      <c r="I52" s="4">
        <v>30.02</v>
      </c>
      <c r="J52" s="4">
        <v>2.73</v>
      </c>
      <c r="K52" s="4">
        <v>27.29</v>
      </c>
      <c r="L52" s="4">
        <v>5</v>
      </c>
      <c r="M52" s="6">
        <f>+L52*K52</f>
        <v>136.44999999999999</v>
      </c>
      <c r="O52" s="4">
        <f>+G52-E52</f>
        <v>32</v>
      </c>
      <c r="P52" s="4">
        <f>+N52-G52</f>
        <v>-43262</v>
      </c>
    </row>
    <row r="53" spans="1:16" s="7" customFormat="1" x14ac:dyDescent="0.25">
      <c r="A53" s="3" t="s">
        <v>11</v>
      </c>
      <c r="B53" s="4">
        <v>804</v>
      </c>
      <c r="C53" s="5">
        <v>43267</v>
      </c>
      <c r="D53" s="4" t="str">
        <f>"0350120180800297800"</f>
        <v>0350120180800297800</v>
      </c>
      <c r="E53" s="5">
        <v>43230</v>
      </c>
      <c r="F53" s="5">
        <v>43267</v>
      </c>
      <c r="G53" s="5">
        <v>43262</v>
      </c>
      <c r="H53" s="4" t="s">
        <v>12</v>
      </c>
      <c r="I53" s="4">
        <v>140.77000000000001</v>
      </c>
      <c r="J53" s="4">
        <v>11.86</v>
      </c>
      <c r="K53" s="4">
        <v>128.91</v>
      </c>
      <c r="L53" s="4">
        <v>5</v>
      </c>
      <c r="M53" s="6">
        <f>+L53*K53</f>
        <v>644.54999999999995</v>
      </c>
      <c r="O53" s="4">
        <f>+G53-E53</f>
        <v>32</v>
      </c>
      <c r="P53" s="4">
        <f>+N53-G53</f>
        <v>-43262</v>
      </c>
    </row>
    <row r="54" spans="1:16" s="7" customFormat="1" x14ac:dyDescent="0.25">
      <c r="A54" s="3" t="s">
        <v>11</v>
      </c>
      <c r="B54" s="4">
        <v>805</v>
      </c>
      <c r="C54" s="5">
        <v>43267</v>
      </c>
      <c r="D54" s="4" t="str">
        <f>"0350120180800297700"</f>
        <v>0350120180800297700</v>
      </c>
      <c r="E54" s="5">
        <v>43230</v>
      </c>
      <c r="F54" s="5">
        <v>43267</v>
      </c>
      <c r="G54" s="5">
        <v>43262</v>
      </c>
      <c r="H54" s="4" t="s">
        <v>12</v>
      </c>
      <c r="I54" s="4">
        <v>810.89</v>
      </c>
      <c r="J54" s="4">
        <v>71.11</v>
      </c>
      <c r="K54" s="4">
        <v>739.78</v>
      </c>
      <c r="L54" s="4">
        <v>5</v>
      </c>
      <c r="M54" s="6">
        <f>+L54*K54</f>
        <v>3698.8999999999996</v>
      </c>
      <c r="O54" s="4">
        <f>+G54-E54</f>
        <v>32</v>
      </c>
      <c r="P54" s="4">
        <f>+N54-G54</f>
        <v>-43262</v>
      </c>
    </row>
    <row r="55" spans="1:16" s="7" customFormat="1" x14ac:dyDescent="0.25">
      <c r="A55" s="3" t="s">
        <v>11</v>
      </c>
      <c r="B55" s="4">
        <v>807</v>
      </c>
      <c r="C55" s="5">
        <v>43267</v>
      </c>
      <c r="D55" s="4" t="str">
        <f>"0350120180800296800"</f>
        <v>0350120180800296800</v>
      </c>
      <c r="E55" s="5">
        <v>43230</v>
      </c>
      <c r="F55" s="5">
        <v>43267</v>
      </c>
      <c r="G55" s="5">
        <v>43262</v>
      </c>
      <c r="H55" s="4" t="s">
        <v>12</v>
      </c>
      <c r="I55" s="4">
        <v>114.46</v>
      </c>
      <c r="J55" s="4">
        <v>8.9700000000000006</v>
      </c>
      <c r="K55" s="4">
        <v>105.49</v>
      </c>
      <c r="L55" s="4">
        <v>5</v>
      </c>
      <c r="M55" s="6">
        <f>+L55*K55</f>
        <v>527.44999999999993</v>
      </c>
      <c r="O55" s="4">
        <f>+G55-E55</f>
        <v>32</v>
      </c>
      <c r="P55" s="4">
        <f>+N55-G55</f>
        <v>-43262</v>
      </c>
    </row>
    <row r="56" spans="1:16" s="7" customFormat="1" x14ac:dyDescent="0.25">
      <c r="A56" s="3" t="s">
        <v>90</v>
      </c>
      <c r="B56" s="4">
        <v>697</v>
      </c>
      <c r="C56" s="5">
        <v>43250</v>
      </c>
      <c r="D56" s="4" t="s">
        <v>91</v>
      </c>
      <c r="E56" s="5">
        <v>43216</v>
      </c>
      <c r="F56" s="5">
        <v>43251</v>
      </c>
      <c r="G56" s="5">
        <v>43246</v>
      </c>
      <c r="H56" s="4" t="s">
        <v>15</v>
      </c>
      <c r="I56" s="4">
        <v>666.67</v>
      </c>
      <c r="J56" s="4">
        <v>0</v>
      </c>
      <c r="K56" s="4">
        <v>666.67</v>
      </c>
      <c r="L56" s="4">
        <v>5</v>
      </c>
      <c r="M56" s="6">
        <f>+L56*K56</f>
        <v>3333.35</v>
      </c>
      <c r="O56" s="4">
        <f>+G56-E56</f>
        <v>30</v>
      </c>
      <c r="P56" s="4">
        <f>+N56-G56</f>
        <v>-43246</v>
      </c>
    </row>
    <row r="57" spans="1:16" s="7" customFormat="1" x14ac:dyDescent="0.25">
      <c r="A57" s="3" t="s">
        <v>11</v>
      </c>
      <c r="B57" s="4">
        <v>807</v>
      </c>
      <c r="C57" s="5">
        <v>43267</v>
      </c>
      <c r="D57" s="4" t="str">
        <f>"0350120180800297200"</f>
        <v>0350120180800297200</v>
      </c>
      <c r="E57" s="5">
        <v>43230</v>
      </c>
      <c r="F57" s="5">
        <v>43267</v>
      </c>
      <c r="G57" s="5">
        <v>43265</v>
      </c>
      <c r="H57" s="4" t="s">
        <v>12</v>
      </c>
      <c r="I57" s="4">
        <v>30.04</v>
      </c>
      <c r="J57" s="4">
        <v>2.73</v>
      </c>
      <c r="K57" s="4">
        <v>27.31</v>
      </c>
      <c r="L57" s="4">
        <v>2</v>
      </c>
      <c r="M57" s="6">
        <f>+L57*K57</f>
        <v>54.62</v>
      </c>
      <c r="N57" s="8">
        <v>43235</v>
      </c>
      <c r="O57" s="4">
        <f>+G57-E57</f>
        <v>35</v>
      </c>
      <c r="P57" s="4">
        <f>+N57-G57</f>
        <v>-30</v>
      </c>
    </row>
    <row r="58" spans="1:16" s="7" customFormat="1" x14ac:dyDescent="0.25">
      <c r="A58" s="3" t="s">
        <v>11</v>
      </c>
      <c r="B58" s="4">
        <v>775</v>
      </c>
      <c r="C58" s="5">
        <v>43260</v>
      </c>
      <c r="D58" s="4" t="str">
        <f>"0350120160800358200"</f>
        <v>0350120160800358200</v>
      </c>
      <c r="E58" s="5">
        <v>42516</v>
      </c>
      <c r="F58" s="5">
        <v>43260</v>
      </c>
      <c r="G58" s="5">
        <f>+N58+30</f>
        <v>43259</v>
      </c>
      <c r="H58" s="4" t="s">
        <v>12</v>
      </c>
      <c r="I58" s="4">
        <v>391.56</v>
      </c>
      <c r="J58" s="4">
        <v>35.6</v>
      </c>
      <c r="K58" s="4">
        <v>355.96</v>
      </c>
      <c r="L58" s="4">
        <v>1</v>
      </c>
      <c r="M58" s="6">
        <f>+L58*K58</f>
        <v>355.96</v>
      </c>
      <c r="N58" s="8">
        <v>43229</v>
      </c>
      <c r="O58" s="4">
        <f>+G58-E58</f>
        <v>743</v>
      </c>
      <c r="P58" s="4"/>
    </row>
    <row r="59" spans="1:16" s="7" customFormat="1" x14ac:dyDescent="0.25">
      <c r="A59" s="3" t="s">
        <v>11</v>
      </c>
      <c r="B59" s="4">
        <v>758</v>
      </c>
      <c r="C59" s="5">
        <v>43258</v>
      </c>
      <c r="D59" s="4" t="str">
        <f>"0350120160800358900"</f>
        <v>0350120160800358900</v>
      </c>
      <c r="E59" s="5">
        <v>42516</v>
      </c>
      <c r="F59" s="5">
        <v>43260</v>
      </c>
      <c r="G59" s="5">
        <f>+N59+30</f>
        <v>43259</v>
      </c>
      <c r="H59" s="4" t="s">
        <v>12</v>
      </c>
      <c r="I59" s="4">
        <v>3.11</v>
      </c>
      <c r="J59" s="4">
        <v>0.28000000000000003</v>
      </c>
      <c r="K59" s="4">
        <v>2.83</v>
      </c>
      <c r="L59" s="4">
        <v>1</v>
      </c>
      <c r="M59" s="6">
        <f>+L59*K59</f>
        <v>2.83</v>
      </c>
      <c r="N59" s="8">
        <v>43229</v>
      </c>
      <c r="O59" s="4">
        <f>+G59-E59</f>
        <v>743</v>
      </c>
      <c r="P59" s="4"/>
    </row>
    <row r="60" spans="1:16" s="7" customFormat="1" x14ac:dyDescent="0.25">
      <c r="A60" s="3" t="s">
        <v>11</v>
      </c>
      <c r="B60" s="4">
        <v>758</v>
      </c>
      <c r="C60" s="5">
        <v>43258</v>
      </c>
      <c r="D60" s="4" t="str">
        <f>"0350120160800359600"</f>
        <v>0350120160800359600</v>
      </c>
      <c r="E60" s="5">
        <v>42516</v>
      </c>
      <c r="F60" s="5">
        <v>43260</v>
      </c>
      <c r="G60" s="5">
        <f>+N60+30</f>
        <v>43259</v>
      </c>
      <c r="H60" s="4" t="s">
        <v>12</v>
      </c>
      <c r="I60" s="4">
        <v>324.8</v>
      </c>
      <c r="J60" s="4">
        <v>29.53</v>
      </c>
      <c r="K60" s="4">
        <v>295.27</v>
      </c>
      <c r="L60" s="4">
        <v>1</v>
      </c>
      <c r="M60" s="6">
        <f>+L60*K60</f>
        <v>295.27</v>
      </c>
      <c r="N60" s="8">
        <v>43229</v>
      </c>
      <c r="O60" s="4">
        <f>+G60-E60</f>
        <v>743</v>
      </c>
      <c r="P60" s="4"/>
    </row>
    <row r="61" spans="1:16" s="7" customFormat="1" x14ac:dyDescent="0.25">
      <c r="A61" s="3" t="s">
        <v>11</v>
      </c>
      <c r="B61" s="4">
        <v>765</v>
      </c>
      <c r="C61" s="5">
        <v>43258</v>
      </c>
      <c r="D61" s="4" t="str">
        <f>"0350120160800357900"</f>
        <v>0350120160800357900</v>
      </c>
      <c r="E61" s="5">
        <v>42516</v>
      </c>
      <c r="F61" s="5">
        <v>43260</v>
      </c>
      <c r="G61" s="5">
        <f>+N61+30</f>
        <v>43259</v>
      </c>
      <c r="H61" s="4" t="s">
        <v>12</v>
      </c>
      <c r="I61" s="4">
        <v>13.44</v>
      </c>
      <c r="J61" s="4">
        <v>1.22</v>
      </c>
      <c r="K61" s="4">
        <v>12.22</v>
      </c>
      <c r="L61" s="4">
        <v>1</v>
      </c>
      <c r="M61" s="6">
        <f>+L61*K61</f>
        <v>12.22</v>
      </c>
      <c r="N61" s="8">
        <v>43229</v>
      </c>
      <c r="O61" s="4">
        <f>+G61-E61</f>
        <v>743</v>
      </c>
      <c r="P61" s="4"/>
    </row>
    <row r="62" spans="1:16" s="7" customFormat="1" x14ac:dyDescent="0.25">
      <c r="A62" s="3" t="s">
        <v>11</v>
      </c>
      <c r="B62" s="4">
        <v>761</v>
      </c>
      <c r="C62" s="5">
        <v>43258</v>
      </c>
      <c r="D62" s="4" t="str">
        <f>"0350120160800358700"</f>
        <v>0350120160800358700</v>
      </c>
      <c r="E62" s="5">
        <v>42516</v>
      </c>
      <c r="F62" s="5">
        <v>43260</v>
      </c>
      <c r="G62" s="5">
        <f>+N62+30</f>
        <v>43259</v>
      </c>
      <c r="H62" s="4" t="s">
        <v>12</v>
      </c>
      <c r="I62" s="4">
        <v>153.81</v>
      </c>
      <c r="J62" s="4">
        <v>13.98</v>
      </c>
      <c r="K62" s="4">
        <v>139.83000000000001</v>
      </c>
      <c r="L62" s="4">
        <v>1</v>
      </c>
      <c r="M62" s="6">
        <f>+L62*K62</f>
        <v>139.83000000000001</v>
      </c>
      <c r="N62" s="8">
        <v>43229</v>
      </c>
      <c r="O62" s="4">
        <f>+G62-E62</f>
        <v>743</v>
      </c>
      <c r="P62" s="4"/>
    </row>
    <row r="63" spans="1:16" s="7" customFormat="1" x14ac:dyDescent="0.25">
      <c r="A63" s="3" t="s">
        <v>11</v>
      </c>
      <c r="B63" s="4">
        <v>763</v>
      </c>
      <c r="C63" s="5">
        <v>43258</v>
      </c>
      <c r="D63" s="4" t="str">
        <f>"0350120160800358400"</f>
        <v>0350120160800358400</v>
      </c>
      <c r="E63" s="5">
        <v>42516</v>
      </c>
      <c r="F63" s="5">
        <v>43260</v>
      </c>
      <c r="G63" s="5">
        <f>+N63+30</f>
        <v>43259</v>
      </c>
      <c r="H63" s="4" t="s">
        <v>12</v>
      </c>
      <c r="I63" s="4">
        <v>548.87</v>
      </c>
      <c r="J63" s="4">
        <v>49.9</v>
      </c>
      <c r="K63" s="4">
        <v>498.97</v>
      </c>
      <c r="L63" s="4">
        <v>1</v>
      </c>
      <c r="M63" s="6">
        <f>+L63*K63</f>
        <v>498.97</v>
      </c>
      <c r="N63" s="8">
        <v>43229</v>
      </c>
      <c r="O63" s="4">
        <f>+G63-E63</f>
        <v>743</v>
      </c>
      <c r="P63" s="4"/>
    </row>
    <row r="64" spans="1:16" s="7" customFormat="1" x14ac:dyDescent="0.25">
      <c r="A64" s="3" t="s">
        <v>11</v>
      </c>
      <c r="B64" s="4">
        <v>760</v>
      </c>
      <c r="C64" s="5">
        <v>43258</v>
      </c>
      <c r="D64" s="4" t="str">
        <f>"0350120160800359700"</f>
        <v>0350120160800359700</v>
      </c>
      <c r="E64" s="5">
        <v>42516</v>
      </c>
      <c r="F64" s="5">
        <v>43260</v>
      </c>
      <c r="G64" s="5">
        <f>+N64+30</f>
        <v>43259</v>
      </c>
      <c r="H64" s="4" t="s">
        <v>12</v>
      </c>
      <c r="I64" s="4">
        <v>61.94</v>
      </c>
      <c r="J64" s="4">
        <v>5.63</v>
      </c>
      <c r="K64" s="4">
        <v>56.31</v>
      </c>
      <c r="L64" s="4">
        <v>1</v>
      </c>
      <c r="M64" s="6">
        <f>+L64*K64</f>
        <v>56.31</v>
      </c>
      <c r="N64" s="8">
        <v>43229</v>
      </c>
      <c r="O64" s="4">
        <f>+G64-E64</f>
        <v>743</v>
      </c>
      <c r="P64" s="4"/>
    </row>
    <row r="65" spans="1:16" s="7" customFormat="1" x14ac:dyDescent="0.25">
      <c r="A65" s="3" t="s">
        <v>11</v>
      </c>
      <c r="B65" s="4">
        <v>762</v>
      </c>
      <c r="C65" s="5">
        <v>43258</v>
      </c>
      <c r="D65" s="4" t="str">
        <f>"0350120160800359800"</f>
        <v>0350120160800359800</v>
      </c>
      <c r="E65" s="5">
        <v>42516</v>
      </c>
      <c r="F65" s="5">
        <v>43260</v>
      </c>
      <c r="G65" s="5">
        <f>+N65+30</f>
        <v>43259</v>
      </c>
      <c r="H65" s="4" t="s">
        <v>12</v>
      </c>
      <c r="I65" s="4">
        <v>87.44</v>
      </c>
      <c r="J65" s="4">
        <v>7.95</v>
      </c>
      <c r="K65" s="4">
        <v>79.489999999999995</v>
      </c>
      <c r="L65" s="4">
        <v>1</v>
      </c>
      <c r="M65" s="6">
        <f>+L65*K65</f>
        <v>79.489999999999995</v>
      </c>
      <c r="N65" s="8">
        <v>43229</v>
      </c>
      <c r="O65" s="4">
        <f>+G65-E65</f>
        <v>743</v>
      </c>
      <c r="P65" s="4"/>
    </row>
    <row r="66" spans="1:16" s="7" customFormat="1" x14ac:dyDescent="0.25">
      <c r="A66" s="3" t="s">
        <v>11</v>
      </c>
      <c r="B66" s="4">
        <v>764</v>
      </c>
      <c r="C66" s="5">
        <v>43258</v>
      </c>
      <c r="D66" s="4" t="str">
        <f>"0350120160800368000"</f>
        <v>0350120160800368000</v>
      </c>
      <c r="E66" s="5">
        <v>42516</v>
      </c>
      <c r="F66" s="5">
        <v>43260</v>
      </c>
      <c r="G66" s="5">
        <f>+N66+30</f>
        <v>43259</v>
      </c>
      <c r="H66" s="4" t="s">
        <v>12</v>
      </c>
      <c r="I66" s="4">
        <v>10.68</v>
      </c>
      <c r="J66" s="4">
        <v>0.97</v>
      </c>
      <c r="K66" s="4">
        <v>9.7100000000000009</v>
      </c>
      <c r="L66" s="4">
        <v>1</v>
      </c>
      <c r="M66" s="6">
        <f>+L66*K66</f>
        <v>9.7100000000000009</v>
      </c>
      <c r="N66" s="8">
        <v>43229</v>
      </c>
      <c r="O66" s="4">
        <f>+G66-E66</f>
        <v>743</v>
      </c>
      <c r="P66" s="4"/>
    </row>
    <row r="67" spans="1:16" s="7" customFormat="1" x14ac:dyDescent="0.25">
      <c r="A67" s="3" t="s">
        <v>11</v>
      </c>
      <c r="B67" s="4">
        <v>758</v>
      </c>
      <c r="C67" s="5">
        <v>43258</v>
      </c>
      <c r="D67" s="4" t="str">
        <f>"0350120160800358100"</f>
        <v>0350120160800358100</v>
      </c>
      <c r="E67" s="5">
        <v>42516</v>
      </c>
      <c r="F67" s="5">
        <v>43260</v>
      </c>
      <c r="G67" s="5">
        <f>+N67+30</f>
        <v>43259</v>
      </c>
      <c r="H67" s="4" t="s">
        <v>12</v>
      </c>
      <c r="I67" s="4">
        <v>37.6</v>
      </c>
      <c r="J67" s="4">
        <v>3.42</v>
      </c>
      <c r="K67" s="4">
        <v>34.18</v>
      </c>
      <c r="L67" s="4">
        <v>1</v>
      </c>
      <c r="M67" s="6">
        <f>+L67*K67</f>
        <v>34.18</v>
      </c>
      <c r="N67" s="8">
        <v>43229</v>
      </c>
      <c r="O67" s="4">
        <f>+G67-E67</f>
        <v>743</v>
      </c>
      <c r="P67" s="4"/>
    </row>
    <row r="68" spans="1:16" s="7" customFormat="1" x14ac:dyDescent="0.25">
      <c r="A68" s="3" t="s">
        <v>11</v>
      </c>
      <c r="B68" s="4">
        <v>758</v>
      </c>
      <c r="C68" s="5">
        <v>43258</v>
      </c>
      <c r="D68" s="4" t="str">
        <f>"0350120160800359400"</f>
        <v>0350120160800359400</v>
      </c>
      <c r="E68" s="5">
        <v>42516</v>
      </c>
      <c r="F68" s="5">
        <v>43260</v>
      </c>
      <c r="G68" s="5">
        <f>+N68+30</f>
        <v>43259</v>
      </c>
      <c r="H68" s="4" t="s">
        <v>12</v>
      </c>
      <c r="I68" s="4">
        <v>142.56</v>
      </c>
      <c r="J68" s="4">
        <v>12.96</v>
      </c>
      <c r="K68" s="4">
        <v>129.6</v>
      </c>
      <c r="L68" s="4">
        <v>1</v>
      </c>
      <c r="M68" s="6">
        <f>+L68*K68</f>
        <v>129.6</v>
      </c>
      <c r="N68" s="8">
        <v>43229</v>
      </c>
      <c r="O68" s="4">
        <f>+G68-E68</f>
        <v>743</v>
      </c>
      <c r="P68" s="4"/>
    </row>
    <row r="69" spans="1:16" s="7" customFormat="1" x14ac:dyDescent="0.25">
      <c r="A69" s="3" t="s">
        <v>11</v>
      </c>
      <c r="B69" s="4">
        <v>759</v>
      </c>
      <c r="C69" s="5">
        <v>43258</v>
      </c>
      <c r="D69" s="4" t="str">
        <f>"0350120160800358500"</f>
        <v>0350120160800358500</v>
      </c>
      <c r="E69" s="5">
        <v>42516</v>
      </c>
      <c r="F69" s="5">
        <v>43260</v>
      </c>
      <c r="G69" s="5">
        <f>+N69+30</f>
        <v>43259</v>
      </c>
      <c r="H69" s="4" t="s">
        <v>12</v>
      </c>
      <c r="I69" s="4">
        <v>77.760000000000005</v>
      </c>
      <c r="J69" s="4">
        <v>7.07</v>
      </c>
      <c r="K69" s="4">
        <v>70.69</v>
      </c>
      <c r="L69" s="4">
        <v>1</v>
      </c>
      <c r="M69" s="6">
        <f>+L69*K69</f>
        <v>70.69</v>
      </c>
      <c r="N69" s="8">
        <v>43229</v>
      </c>
      <c r="O69" s="4">
        <f>+G69-E69</f>
        <v>743</v>
      </c>
      <c r="P69" s="4"/>
    </row>
    <row r="70" spans="1:16" s="7" customFormat="1" x14ac:dyDescent="0.25">
      <c r="A70" s="3" t="s">
        <v>11</v>
      </c>
      <c r="B70" s="4">
        <v>763</v>
      </c>
      <c r="C70" s="5">
        <v>43258</v>
      </c>
      <c r="D70" s="4" t="str">
        <f>"0350120160800358300"</f>
        <v>0350120160800358300</v>
      </c>
      <c r="E70" s="5">
        <v>42516</v>
      </c>
      <c r="F70" s="5">
        <v>43260</v>
      </c>
      <c r="G70" s="5">
        <f>+N70+30</f>
        <v>43259</v>
      </c>
      <c r="H70" s="4" t="s">
        <v>12</v>
      </c>
      <c r="I70" s="6">
        <v>1310.05</v>
      </c>
      <c r="J70" s="4">
        <v>119.1</v>
      </c>
      <c r="K70" s="6">
        <v>1190.95</v>
      </c>
      <c r="L70" s="4">
        <v>1</v>
      </c>
      <c r="M70" s="6">
        <f>+L70*K70</f>
        <v>1190.95</v>
      </c>
      <c r="N70" s="8">
        <v>43229</v>
      </c>
      <c r="O70" s="4">
        <f>+G70-E70</f>
        <v>743</v>
      </c>
      <c r="P70" s="4"/>
    </row>
    <row r="71" spans="1:16" s="7" customFormat="1" x14ac:dyDescent="0.25">
      <c r="A71" s="3" t="s">
        <v>11</v>
      </c>
      <c r="B71" s="4">
        <v>761</v>
      </c>
      <c r="C71" s="5">
        <v>43258</v>
      </c>
      <c r="D71" s="4" t="str">
        <f>"0350120160800359100"</f>
        <v>0350120160800359100</v>
      </c>
      <c r="E71" s="5">
        <v>42516</v>
      </c>
      <c r="F71" s="5">
        <v>43260</v>
      </c>
      <c r="G71" s="5">
        <f>+N71+30</f>
        <v>43259</v>
      </c>
      <c r="H71" s="4" t="s">
        <v>12</v>
      </c>
      <c r="I71" s="4">
        <v>0.84</v>
      </c>
      <c r="J71" s="4">
        <v>0.08</v>
      </c>
      <c r="K71" s="4">
        <v>0.76</v>
      </c>
      <c r="L71" s="4">
        <v>1</v>
      </c>
      <c r="M71" s="6">
        <f>+L71*K71</f>
        <v>0.76</v>
      </c>
      <c r="N71" s="8">
        <v>43229</v>
      </c>
      <c r="O71" s="4">
        <f>+G71-E71</f>
        <v>743</v>
      </c>
      <c r="P71" s="4"/>
    </row>
    <row r="72" spans="1:16" s="7" customFormat="1" x14ac:dyDescent="0.25">
      <c r="A72" s="3" t="s">
        <v>92</v>
      </c>
      <c r="B72" s="4">
        <v>713</v>
      </c>
      <c r="C72" s="5">
        <v>43251</v>
      </c>
      <c r="D72" s="4" t="str">
        <f>"0001112090"</f>
        <v>0001112090</v>
      </c>
      <c r="E72" s="5">
        <v>43220</v>
      </c>
      <c r="F72" s="5">
        <v>43251</v>
      </c>
      <c r="G72" s="5">
        <v>43250</v>
      </c>
      <c r="H72" s="4" t="s">
        <v>12</v>
      </c>
      <c r="I72" s="6">
        <v>3978</v>
      </c>
      <c r="J72" s="4">
        <v>0</v>
      </c>
      <c r="K72" s="6">
        <v>3978</v>
      </c>
      <c r="L72" s="4">
        <v>1</v>
      </c>
      <c r="M72" s="6">
        <f>+L72*K72</f>
        <v>3978</v>
      </c>
      <c r="O72" s="4">
        <f>+G72-E72</f>
        <v>30</v>
      </c>
      <c r="P72" s="4">
        <f>+N72-G72</f>
        <v>-43250</v>
      </c>
    </row>
    <row r="73" spans="1:16" s="7" customFormat="1" x14ac:dyDescent="0.25">
      <c r="A73" s="3" t="s">
        <v>92</v>
      </c>
      <c r="B73" s="4">
        <v>713</v>
      </c>
      <c r="C73" s="5">
        <v>43251</v>
      </c>
      <c r="D73" s="4" t="str">
        <f>"0001111738"</f>
        <v>0001111738</v>
      </c>
      <c r="E73" s="5">
        <v>43220</v>
      </c>
      <c r="F73" s="5">
        <v>43251</v>
      </c>
      <c r="G73" s="5">
        <v>43250</v>
      </c>
      <c r="H73" s="4" t="s">
        <v>12</v>
      </c>
      <c r="I73" s="6">
        <v>1242.55</v>
      </c>
      <c r="J73" s="4">
        <v>0</v>
      </c>
      <c r="K73" s="6">
        <v>1242.55</v>
      </c>
      <c r="L73" s="4">
        <v>1</v>
      </c>
      <c r="M73" s="6">
        <f>+L73*K73</f>
        <v>1242.55</v>
      </c>
      <c r="O73" s="4">
        <f>+G73-E73</f>
        <v>30</v>
      </c>
      <c r="P73" s="4">
        <f>+N73-G73</f>
        <v>-43250</v>
      </c>
    </row>
    <row r="74" spans="1:16" s="7" customFormat="1" x14ac:dyDescent="0.25">
      <c r="A74" s="3" t="s">
        <v>38</v>
      </c>
      <c r="B74" s="4">
        <v>733</v>
      </c>
      <c r="C74" s="5">
        <v>43251</v>
      </c>
      <c r="D74" s="4" t="s">
        <v>93</v>
      </c>
      <c r="E74" s="5">
        <v>43220</v>
      </c>
      <c r="F74" s="5">
        <v>43252</v>
      </c>
      <c r="G74" s="5">
        <v>43251</v>
      </c>
      <c r="H74" s="4" t="s">
        <v>12</v>
      </c>
      <c r="I74" s="6">
        <v>1392.02</v>
      </c>
      <c r="J74" s="4">
        <v>251.02</v>
      </c>
      <c r="K74" s="6">
        <v>1141</v>
      </c>
      <c r="L74" s="4">
        <v>1</v>
      </c>
      <c r="M74" s="6">
        <f>+L74*K74</f>
        <v>1141</v>
      </c>
      <c r="O74" s="4">
        <f>+G74-E74</f>
        <v>31</v>
      </c>
      <c r="P74" s="4">
        <f>+N74-G74</f>
        <v>-43251</v>
      </c>
    </row>
    <row r="75" spans="1:16" s="7" customFormat="1" x14ac:dyDescent="0.25">
      <c r="A75" s="3" t="s">
        <v>16</v>
      </c>
      <c r="B75" s="4">
        <v>464</v>
      </c>
      <c r="C75" s="5">
        <v>43197</v>
      </c>
      <c r="D75" s="4" t="s">
        <v>17</v>
      </c>
      <c r="E75" s="5">
        <v>43167</v>
      </c>
      <c r="F75" s="5">
        <v>43197</v>
      </c>
      <c r="G75" s="5">
        <f>+E75+30</f>
        <v>43197</v>
      </c>
      <c r="H75" s="4" t="s">
        <v>12</v>
      </c>
      <c r="I75" s="6">
        <v>8378.91</v>
      </c>
      <c r="J75" s="6">
        <v>1510.95</v>
      </c>
      <c r="K75" s="6">
        <v>6867.96</v>
      </c>
      <c r="L75" s="4">
        <v>0</v>
      </c>
      <c r="M75" s="6">
        <f>+L75*K75</f>
        <v>0</v>
      </c>
      <c r="O75" s="4">
        <f>+G75-E75</f>
        <v>30</v>
      </c>
      <c r="P75" s="4"/>
    </row>
    <row r="76" spans="1:16" s="7" customFormat="1" ht="15" customHeight="1" x14ac:dyDescent="0.25">
      <c r="A76" s="3" t="s">
        <v>18</v>
      </c>
      <c r="B76" s="4">
        <v>780</v>
      </c>
      <c r="C76" s="5">
        <v>43266</v>
      </c>
      <c r="D76" s="4" t="str">
        <f>"1"</f>
        <v>1</v>
      </c>
      <c r="E76" s="5">
        <v>43161</v>
      </c>
      <c r="F76" s="5">
        <v>43266</v>
      </c>
      <c r="G76" s="5">
        <v>43266</v>
      </c>
      <c r="H76" s="4" t="s">
        <v>12</v>
      </c>
      <c r="I76" s="6">
        <v>7261.45</v>
      </c>
      <c r="J76" s="6">
        <v>1309.44</v>
      </c>
      <c r="K76" s="6">
        <v>5952.01</v>
      </c>
      <c r="L76" s="4">
        <v>0</v>
      </c>
      <c r="M76" s="6">
        <f>+L76*K76</f>
        <v>0</v>
      </c>
      <c r="O76" s="4">
        <f>+G76-E76</f>
        <v>105</v>
      </c>
      <c r="P76" s="4" t="s">
        <v>192</v>
      </c>
    </row>
    <row r="77" spans="1:16" s="7" customFormat="1" x14ac:dyDescent="0.25">
      <c r="A77" s="3" t="s">
        <v>42</v>
      </c>
      <c r="B77" s="4">
        <v>505</v>
      </c>
      <c r="C77" s="5">
        <v>43211</v>
      </c>
      <c r="D77" s="4" t="str">
        <f>"41801026529"</f>
        <v>41801026529</v>
      </c>
      <c r="E77" s="5">
        <v>43180</v>
      </c>
      <c r="F77" s="5">
        <v>43211</v>
      </c>
      <c r="G77" s="5">
        <v>43211</v>
      </c>
      <c r="H77" s="4" t="s">
        <v>12</v>
      </c>
      <c r="I77" s="4">
        <v>175.07</v>
      </c>
      <c r="J77" s="4">
        <v>19.87</v>
      </c>
      <c r="K77" s="4">
        <v>155.19999999999999</v>
      </c>
      <c r="L77" s="4">
        <v>0</v>
      </c>
      <c r="M77" s="6">
        <f>+L77*K77</f>
        <v>0</v>
      </c>
      <c r="N77" s="8">
        <v>43181</v>
      </c>
      <c r="O77" s="4">
        <f>+G77-E77</f>
        <v>31</v>
      </c>
      <c r="P77" s="4">
        <f>+N77-G77</f>
        <v>-30</v>
      </c>
    </row>
    <row r="78" spans="1:16" s="7" customFormat="1" x14ac:dyDescent="0.25">
      <c r="A78" s="3" t="s">
        <v>37</v>
      </c>
      <c r="B78" s="4">
        <v>453</v>
      </c>
      <c r="C78" s="5">
        <v>43197</v>
      </c>
      <c r="D78" s="4" t="str">
        <f>"18026"</f>
        <v>18026</v>
      </c>
      <c r="E78" s="5">
        <v>43159</v>
      </c>
      <c r="F78" s="5">
        <v>43197</v>
      </c>
      <c r="G78" s="5">
        <v>43197</v>
      </c>
      <c r="H78" s="4" t="s">
        <v>12</v>
      </c>
      <c r="I78" s="6">
        <v>3582.29</v>
      </c>
      <c r="J78" s="4">
        <v>645.99</v>
      </c>
      <c r="K78" s="6">
        <v>2936.3</v>
      </c>
      <c r="L78" s="4">
        <v>0</v>
      </c>
      <c r="M78" s="6">
        <f>+L78*K78</f>
        <v>0</v>
      </c>
      <c r="N78" s="8">
        <v>43167</v>
      </c>
      <c r="O78" s="4">
        <f>+G78-E78</f>
        <v>38</v>
      </c>
      <c r="P78" s="4">
        <f>+N78-G78</f>
        <v>-30</v>
      </c>
    </row>
    <row r="79" spans="1:16" s="7" customFormat="1" x14ac:dyDescent="0.25">
      <c r="A79" s="3" t="s">
        <v>37</v>
      </c>
      <c r="B79" s="4">
        <v>979</v>
      </c>
      <c r="C79" s="5">
        <v>43281</v>
      </c>
      <c r="D79" s="4" t="str">
        <f>"18080"</f>
        <v>18080</v>
      </c>
      <c r="E79" s="5">
        <v>43251</v>
      </c>
      <c r="F79" s="5">
        <v>43281</v>
      </c>
      <c r="G79" s="5">
        <v>43281</v>
      </c>
      <c r="H79" s="4" t="s">
        <v>12</v>
      </c>
      <c r="I79" s="6">
        <v>1201.71</v>
      </c>
      <c r="J79" s="4">
        <v>216.7</v>
      </c>
      <c r="K79" s="4">
        <v>985.01</v>
      </c>
      <c r="L79" s="4">
        <v>0</v>
      </c>
      <c r="M79" s="6">
        <f>+L79*K79</f>
        <v>0</v>
      </c>
      <c r="O79" s="4">
        <f>+G79-E79</f>
        <v>30</v>
      </c>
      <c r="P79" s="4">
        <f>+N79-G79</f>
        <v>-43281</v>
      </c>
    </row>
    <row r="80" spans="1:16" s="7" customFormat="1" x14ac:dyDescent="0.25">
      <c r="A80" s="3" t="s">
        <v>38</v>
      </c>
      <c r="B80" s="4">
        <v>984</v>
      </c>
      <c r="C80" s="5">
        <v>43281</v>
      </c>
      <c r="D80" s="4" t="s">
        <v>94</v>
      </c>
      <c r="E80" s="5">
        <v>43250</v>
      </c>
      <c r="F80" s="5">
        <v>43281</v>
      </c>
      <c r="G80" s="5">
        <v>43281</v>
      </c>
      <c r="H80" s="4" t="s">
        <v>12</v>
      </c>
      <c r="I80" s="6">
        <v>1392.02</v>
      </c>
      <c r="J80" s="4">
        <v>251.02</v>
      </c>
      <c r="K80" s="6">
        <v>1141</v>
      </c>
      <c r="L80" s="4">
        <v>0</v>
      </c>
      <c r="M80" s="6">
        <f>+L80*K80</f>
        <v>0</v>
      </c>
      <c r="O80" s="4">
        <f>+G80-E80</f>
        <v>31</v>
      </c>
      <c r="P80" s="4">
        <f>+N80-G80</f>
        <v>-43281</v>
      </c>
    </row>
    <row r="81" spans="1:16" s="7" customFormat="1" x14ac:dyDescent="0.25">
      <c r="A81" s="3" t="s">
        <v>82</v>
      </c>
      <c r="B81" s="4">
        <v>989</v>
      </c>
      <c r="C81" s="5">
        <v>43281</v>
      </c>
      <c r="D81" s="4" t="str">
        <f>"09290"</f>
        <v>09290</v>
      </c>
      <c r="E81" s="5">
        <v>43251</v>
      </c>
      <c r="F81" s="5">
        <v>43281</v>
      </c>
      <c r="G81" s="5">
        <v>43281</v>
      </c>
      <c r="H81" s="4" t="s">
        <v>12</v>
      </c>
      <c r="I81" s="4">
        <v>201.3</v>
      </c>
      <c r="J81" s="4">
        <v>36.299999999999997</v>
      </c>
      <c r="K81" s="4">
        <v>165</v>
      </c>
      <c r="L81" s="4">
        <v>0</v>
      </c>
      <c r="M81" s="6">
        <f>+L81*K81</f>
        <v>0</v>
      </c>
      <c r="O81" s="4">
        <f>+G81-E81</f>
        <v>30</v>
      </c>
      <c r="P81" s="4">
        <f>+N81-G81</f>
        <v>-43281</v>
      </c>
    </row>
    <row r="82" spans="1:16" s="7" customFormat="1" x14ac:dyDescent="0.25">
      <c r="A82" s="3" t="s">
        <v>95</v>
      </c>
      <c r="B82" s="4">
        <v>705</v>
      </c>
      <c r="C82" s="5">
        <v>43250</v>
      </c>
      <c r="D82" s="4" t="s">
        <v>96</v>
      </c>
      <c r="E82" s="5">
        <v>43188</v>
      </c>
      <c r="F82" s="5">
        <v>43251</v>
      </c>
      <c r="G82" s="5">
        <v>43251</v>
      </c>
      <c r="H82" s="4" t="s">
        <v>12</v>
      </c>
      <c r="I82" s="4">
        <v>183</v>
      </c>
      <c r="J82" s="4">
        <v>33</v>
      </c>
      <c r="K82" s="4">
        <v>150</v>
      </c>
      <c r="L82" s="4">
        <v>0</v>
      </c>
      <c r="M82" s="6">
        <f>+L82*K82</f>
        <v>0</v>
      </c>
      <c r="O82" s="4">
        <f>+G82-E82</f>
        <v>63</v>
      </c>
      <c r="P82" s="4">
        <f>+N82-G82</f>
        <v>-43251</v>
      </c>
    </row>
    <row r="83" spans="1:16" s="7" customFormat="1" x14ac:dyDescent="0.25">
      <c r="A83" s="3" t="s">
        <v>84</v>
      </c>
      <c r="B83" s="4">
        <v>693</v>
      </c>
      <c r="C83" s="5">
        <v>43250</v>
      </c>
      <c r="D83" s="4" t="s">
        <v>97</v>
      </c>
      <c r="E83" s="5">
        <v>43190</v>
      </c>
      <c r="F83" s="5">
        <v>43251</v>
      </c>
      <c r="G83" s="5">
        <v>43251</v>
      </c>
      <c r="H83" s="4" t="s">
        <v>12</v>
      </c>
      <c r="I83" s="6">
        <v>6203.39</v>
      </c>
      <c r="J83" s="4">
        <v>295.39999999999998</v>
      </c>
      <c r="K83" s="6">
        <v>5907.99</v>
      </c>
      <c r="L83" s="4">
        <v>0</v>
      </c>
      <c r="M83" s="6">
        <f>+L83*K83</f>
        <v>0</v>
      </c>
      <c r="O83" s="4">
        <f>+G83-E83</f>
        <v>61</v>
      </c>
      <c r="P83" s="4">
        <f>+N83-G83</f>
        <v>-43251</v>
      </c>
    </row>
    <row r="84" spans="1:16" s="7" customFormat="1" x14ac:dyDescent="0.25">
      <c r="A84" s="3" t="s">
        <v>98</v>
      </c>
      <c r="B84" s="4">
        <v>712</v>
      </c>
      <c r="C84" s="5">
        <v>43251</v>
      </c>
      <c r="D84" s="4" t="str">
        <f>"5"</f>
        <v>5</v>
      </c>
      <c r="E84" s="5">
        <v>43220</v>
      </c>
      <c r="F84" s="5">
        <v>43251</v>
      </c>
      <c r="G84" s="5">
        <v>43251</v>
      </c>
      <c r="H84" s="4" t="s">
        <v>12</v>
      </c>
      <c r="I84" s="6">
        <v>2784.78</v>
      </c>
      <c r="J84" s="4">
        <v>502.17</v>
      </c>
      <c r="K84" s="6">
        <v>2282.61</v>
      </c>
      <c r="L84" s="4">
        <v>0</v>
      </c>
      <c r="M84" s="6">
        <f>+L84*K84</f>
        <v>0</v>
      </c>
      <c r="O84" s="4">
        <f>+G84-E84</f>
        <v>31</v>
      </c>
      <c r="P84" s="4">
        <f>+N84-G84</f>
        <v>-43251</v>
      </c>
    </row>
    <row r="85" spans="1:16" s="7" customFormat="1" x14ac:dyDescent="0.25">
      <c r="A85" s="3" t="s">
        <v>11</v>
      </c>
      <c r="B85" s="4">
        <v>769</v>
      </c>
      <c r="C85" s="5">
        <v>43260</v>
      </c>
      <c r="D85" s="4" t="str">
        <f>"0350120160800583700"</f>
        <v>0350120160800583700</v>
      </c>
      <c r="E85" s="5">
        <v>42585</v>
      </c>
      <c r="F85" s="5">
        <v>43260</v>
      </c>
      <c r="G85" s="5">
        <f>+N85+30</f>
        <v>43261</v>
      </c>
      <c r="H85" s="4" t="s">
        <v>12</v>
      </c>
      <c r="I85" s="4">
        <v>89.14</v>
      </c>
      <c r="J85" s="4">
        <v>8.1</v>
      </c>
      <c r="K85" s="4">
        <v>81.040000000000006</v>
      </c>
      <c r="L85" s="4">
        <v>-1</v>
      </c>
      <c r="M85" s="6">
        <f>+L85*K85</f>
        <v>-81.040000000000006</v>
      </c>
      <c r="N85" s="8">
        <v>43231</v>
      </c>
      <c r="O85" s="4">
        <f>+G85-E85</f>
        <v>676</v>
      </c>
      <c r="P85" s="4"/>
    </row>
    <row r="86" spans="1:16" s="7" customFormat="1" x14ac:dyDescent="0.25">
      <c r="A86" s="3" t="s">
        <v>11</v>
      </c>
      <c r="B86" s="4">
        <v>766</v>
      </c>
      <c r="C86" s="5">
        <v>43259</v>
      </c>
      <c r="D86" s="4" t="str">
        <f>"0350120160800583600"</f>
        <v>0350120160800583600</v>
      </c>
      <c r="E86" s="5">
        <v>42585</v>
      </c>
      <c r="F86" s="5">
        <v>43260</v>
      </c>
      <c r="G86" s="5">
        <f>+N86+30</f>
        <v>43261</v>
      </c>
      <c r="H86" s="4" t="s">
        <v>12</v>
      </c>
      <c r="I86" s="4">
        <v>79.790000000000006</v>
      </c>
      <c r="J86" s="4">
        <v>7.25</v>
      </c>
      <c r="K86" s="4">
        <v>72.540000000000006</v>
      </c>
      <c r="L86" s="4">
        <v>-1</v>
      </c>
      <c r="M86" s="6">
        <f>+L86*K86</f>
        <v>-72.540000000000006</v>
      </c>
      <c r="N86" s="8">
        <v>43231</v>
      </c>
      <c r="O86" s="4">
        <f>+G86-E86</f>
        <v>676</v>
      </c>
      <c r="P86" s="4"/>
    </row>
    <row r="87" spans="1:16" s="7" customFormat="1" x14ac:dyDescent="0.25">
      <c r="A87" s="3" t="s">
        <v>11</v>
      </c>
      <c r="B87" s="4">
        <v>766</v>
      </c>
      <c r="C87" s="5">
        <v>43259</v>
      </c>
      <c r="D87" s="4" t="str">
        <f>"0350120160800583300"</f>
        <v>0350120160800583300</v>
      </c>
      <c r="E87" s="5">
        <v>42585</v>
      </c>
      <c r="F87" s="5">
        <v>43260</v>
      </c>
      <c r="G87" s="5">
        <f>+N87+30</f>
        <v>43261</v>
      </c>
      <c r="H87" s="4" t="s">
        <v>12</v>
      </c>
      <c r="I87" s="4">
        <v>21.27</v>
      </c>
      <c r="J87" s="4">
        <v>1.93</v>
      </c>
      <c r="K87" s="4">
        <v>19.34</v>
      </c>
      <c r="L87" s="4">
        <v>-1</v>
      </c>
      <c r="M87" s="6">
        <f>+L87*K87</f>
        <v>-19.34</v>
      </c>
      <c r="N87" s="8">
        <v>43231</v>
      </c>
      <c r="O87" s="4">
        <f>+G87-E87</f>
        <v>676</v>
      </c>
      <c r="P87" s="4"/>
    </row>
    <row r="88" spans="1:16" s="7" customFormat="1" x14ac:dyDescent="0.25">
      <c r="A88" s="3" t="s">
        <v>11</v>
      </c>
      <c r="B88" s="4">
        <v>769</v>
      </c>
      <c r="C88" s="5">
        <v>43260</v>
      </c>
      <c r="D88" s="4" t="str">
        <f>"0350120160800583100"</f>
        <v>0350120160800583100</v>
      </c>
      <c r="E88" s="5">
        <v>42585</v>
      </c>
      <c r="F88" s="5">
        <v>43260</v>
      </c>
      <c r="G88" s="5">
        <f>+N88+30</f>
        <v>43261</v>
      </c>
      <c r="H88" s="4" t="s">
        <v>12</v>
      </c>
      <c r="I88" s="4">
        <v>149.13999999999999</v>
      </c>
      <c r="J88" s="4">
        <v>13.56</v>
      </c>
      <c r="K88" s="4">
        <v>135.58000000000001</v>
      </c>
      <c r="L88" s="4">
        <v>-1</v>
      </c>
      <c r="M88" s="6">
        <f>+L88*K88</f>
        <v>-135.58000000000001</v>
      </c>
      <c r="N88" s="8">
        <v>43231</v>
      </c>
      <c r="O88" s="4">
        <f>+G88-E88</f>
        <v>676</v>
      </c>
      <c r="P88" s="4"/>
    </row>
    <row r="89" spans="1:16" s="7" customFormat="1" x14ac:dyDescent="0.25">
      <c r="A89" s="3" t="s">
        <v>11</v>
      </c>
      <c r="B89" s="4">
        <v>766</v>
      </c>
      <c r="C89" s="5">
        <v>43259</v>
      </c>
      <c r="D89" s="4" t="str">
        <f>"0350120160800582400"</f>
        <v>0350120160800582400</v>
      </c>
      <c r="E89" s="5">
        <v>42585</v>
      </c>
      <c r="F89" s="5">
        <v>43260</v>
      </c>
      <c r="G89" s="5">
        <f>+N89+30</f>
        <v>43261</v>
      </c>
      <c r="H89" s="4" t="s">
        <v>12</v>
      </c>
      <c r="I89" s="4">
        <v>3.77</v>
      </c>
      <c r="J89" s="4">
        <v>0.34</v>
      </c>
      <c r="K89" s="4">
        <v>3.43</v>
      </c>
      <c r="L89" s="4">
        <v>-1</v>
      </c>
      <c r="M89" s="6">
        <f>+L89*K89</f>
        <v>-3.43</v>
      </c>
      <c r="N89" s="8">
        <v>43231</v>
      </c>
      <c r="O89" s="4">
        <f>+G89-E89</f>
        <v>676</v>
      </c>
      <c r="P89" s="4"/>
    </row>
    <row r="90" spans="1:16" s="7" customFormat="1" x14ac:dyDescent="0.25">
      <c r="A90" s="3" t="s">
        <v>11</v>
      </c>
      <c r="B90" s="4">
        <v>766</v>
      </c>
      <c r="C90" s="5">
        <v>43259</v>
      </c>
      <c r="D90" s="4" t="str">
        <f>"0350120160800583900"</f>
        <v>0350120160800583900</v>
      </c>
      <c r="E90" s="5">
        <v>42585</v>
      </c>
      <c r="F90" s="5">
        <v>43260</v>
      </c>
      <c r="G90" s="5">
        <f>+N90+30</f>
        <v>43261</v>
      </c>
      <c r="H90" s="4" t="s">
        <v>12</v>
      </c>
      <c r="I90" s="4">
        <v>1.8</v>
      </c>
      <c r="J90" s="4">
        <v>0.16</v>
      </c>
      <c r="K90" s="4">
        <v>1.64</v>
      </c>
      <c r="L90" s="4">
        <v>-1</v>
      </c>
      <c r="M90" s="6">
        <f>+L90*K90</f>
        <v>-1.64</v>
      </c>
      <c r="N90" s="8">
        <v>43231</v>
      </c>
      <c r="O90" s="4">
        <f>+G90-E90</f>
        <v>676</v>
      </c>
      <c r="P90" s="4"/>
    </row>
    <row r="91" spans="1:16" s="7" customFormat="1" x14ac:dyDescent="0.25">
      <c r="A91" s="3" t="s">
        <v>11</v>
      </c>
      <c r="B91" s="4">
        <v>774</v>
      </c>
      <c r="C91" s="5">
        <v>43260</v>
      </c>
      <c r="D91" s="4" t="str">
        <f>"0350120160800582200"</f>
        <v>0350120160800582200</v>
      </c>
      <c r="E91" s="5">
        <v>42585</v>
      </c>
      <c r="F91" s="5">
        <v>43260</v>
      </c>
      <c r="G91" s="5">
        <f>+N91+30</f>
        <v>43261</v>
      </c>
      <c r="H91" s="4" t="s">
        <v>12</v>
      </c>
      <c r="I91" s="4">
        <v>24.02</v>
      </c>
      <c r="J91" s="4">
        <v>2.1800000000000002</v>
      </c>
      <c r="K91" s="4">
        <v>21.84</v>
      </c>
      <c r="L91" s="4">
        <v>-1</v>
      </c>
      <c r="M91" s="6">
        <f>+L91*K91</f>
        <v>-21.84</v>
      </c>
      <c r="N91" s="8">
        <v>43231</v>
      </c>
      <c r="O91" s="4">
        <f>+G91-E91</f>
        <v>676</v>
      </c>
      <c r="P91" s="4"/>
    </row>
    <row r="92" spans="1:16" s="7" customFormat="1" x14ac:dyDescent="0.25">
      <c r="A92" s="3" t="s">
        <v>11</v>
      </c>
      <c r="B92" s="4">
        <v>767</v>
      </c>
      <c r="C92" s="5">
        <v>43260</v>
      </c>
      <c r="D92" s="4" t="str">
        <f>"0350120160800582700"</f>
        <v>0350120160800582700</v>
      </c>
      <c r="E92" s="5">
        <v>42585</v>
      </c>
      <c r="F92" s="5">
        <v>43260</v>
      </c>
      <c r="G92" s="5">
        <f>+N92+30</f>
        <v>43261</v>
      </c>
      <c r="H92" s="4" t="s">
        <v>12</v>
      </c>
      <c r="I92" s="4">
        <v>101.6</v>
      </c>
      <c r="J92" s="4">
        <v>9.24</v>
      </c>
      <c r="K92" s="4">
        <v>92.36</v>
      </c>
      <c r="L92" s="4">
        <v>-1</v>
      </c>
      <c r="M92" s="6">
        <f>+L92*K92</f>
        <v>-92.36</v>
      </c>
      <c r="N92" s="8">
        <v>43231</v>
      </c>
      <c r="O92" s="4">
        <f>+G92-E92</f>
        <v>676</v>
      </c>
      <c r="P92" s="4"/>
    </row>
    <row r="93" spans="1:16" s="7" customFormat="1" x14ac:dyDescent="0.25">
      <c r="A93" s="3" t="s">
        <v>11</v>
      </c>
      <c r="B93" s="4">
        <v>770</v>
      </c>
      <c r="C93" s="5">
        <v>43260</v>
      </c>
      <c r="D93" s="4" t="str">
        <f>"0350120160800584100"</f>
        <v>0350120160800584100</v>
      </c>
      <c r="E93" s="5">
        <v>42585</v>
      </c>
      <c r="F93" s="5">
        <v>43260</v>
      </c>
      <c r="G93" s="5">
        <f>+N93+30</f>
        <v>43261</v>
      </c>
      <c r="H93" s="4" t="s">
        <v>12</v>
      </c>
      <c r="I93" s="4">
        <v>104.12</v>
      </c>
      <c r="J93" s="4">
        <v>9.4700000000000006</v>
      </c>
      <c r="K93" s="4">
        <v>94.65</v>
      </c>
      <c r="L93" s="4">
        <v>-1</v>
      </c>
      <c r="M93" s="6">
        <f>+L93*K93</f>
        <v>-94.65</v>
      </c>
      <c r="N93" s="8">
        <v>43231</v>
      </c>
      <c r="O93" s="4">
        <f>+G93-E93</f>
        <v>676</v>
      </c>
      <c r="P93" s="4"/>
    </row>
    <row r="94" spans="1:16" s="7" customFormat="1" x14ac:dyDescent="0.25">
      <c r="A94" s="3" t="s">
        <v>11</v>
      </c>
      <c r="B94" s="4">
        <v>768</v>
      </c>
      <c r="C94" s="5">
        <v>43260</v>
      </c>
      <c r="D94" s="4" t="str">
        <f>"0350120160800582900"</f>
        <v>0350120160800582900</v>
      </c>
      <c r="E94" s="5">
        <v>42585</v>
      </c>
      <c r="F94" s="5">
        <v>43260</v>
      </c>
      <c r="G94" s="5">
        <f>+N94+30</f>
        <v>43261</v>
      </c>
      <c r="H94" s="4" t="s">
        <v>12</v>
      </c>
      <c r="I94" s="4">
        <v>56.74</v>
      </c>
      <c r="J94" s="4">
        <v>5.16</v>
      </c>
      <c r="K94" s="4">
        <v>51.58</v>
      </c>
      <c r="L94" s="4">
        <v>-1</v>
      </c>
      <c r="M94" s="6">
        <f>+L94*K94</f>
        <v>-51.58</v>
      </c>
      <c r="N94" s="8">
        <v>43231</v>
      </c>
      <c r="O94" s="4">
        <f>+G94-E94</f>
        <v>676</v>
      </c>
      <c r="P94" s="4"/>
    </row>
    <row r="95" spans="1:16" s="7" customFormat="1" x14ac:dyDescent="0.25">
      <c r="A95" s="3" t="s">
        <v>11</v>
      </c>
      <c r="B95" s="4">
        <v>766</v>
      </c>
      <c r="C95" s="5">
        <v>43259</v>
      </c>
      <c r="D95" s="4" t="str">
        <f>"0350120160800583800"</f>
        <v>0350120160800583800</v>
      </c>
      <c r="E95" s="5">
        <v>42585</v>
      </c>
      <c r="F95" s="5">
        <v>43260</v>
      </c>
      <c r="G95" s="5">
        <f>+N95+30</f>
        <v>43261</v>
      </c>
      <c r="H95" s="4" t="s">
        <v>12</v>
      </c>
      <c r="I95" s="4">
        <v>5.56</v>
      </c>
      <c r="J95" s="4">
        <v>0.51</v>
      </c>
      <c r="K95" s="4">
        <v>5.05</v>
      </c>
      <c r="L95" s="4">
        <v>-1</v>
      </c>
      <c r="M95" s="6">
        <f>+L95*K95</f>
        <v>-5.05</v>
      </c>
      <c r="N95" s="8">
        <v>43231</v>
      </c>
      <c r="O95" s="4">
        <f>+G95-E95</f>
        <v>676</v>
      </c>
      <c r="P95" s="4"/>
    </row>
    <row r="96" spans="1:16" s="7" customFormat="1" x14ac:dyDescent="0.25">
      <c r="A96" s="3" t="s">
        <v>11</v>
      </c>
      <c r="B96" s="4">
        <v>773</v>
      </c>
      <c r="C96" s="5">
        <v>43260</v>
      </c>
      <c r="D96" s="4" t="str">
        <f>"0350120160800592100"</f>
        <v>0350120160800592100</v>
      </c>
      <c r="E96" s="5">
        <v>42585</v>
      </c>
      <c r="F96" s="5">
        <v>43260</v>
      </c>
      <c r="G96" s="5">
        <f>+N96+30</f>
        <v>43261</v>
      </c>
      <c r="H96" s="4" t="s">
        <v>12</v>
      </c>
      <c r="I96" s="4">
        <v>27.38</v>
      </c>
      <c r="J96" s="4">
        <v>2.4900000000000002</v>
      </c>
      <c r="K96" s="4">
        <v>24.89</v>
      </c>
      <c r="L96" s="4">
        <v>-1</v>
      </c>
      <c r="M96" s="6">
        <f>+L96*K96</f>
        <v>-24.89</v>
      </c>
      <c r="N96" s="8">
        <v>43231</v>
      </c>
      <c r="O96" s="4">
        <f>+G96-E96</f>
        <v>676</v>
      </c>
      <c r="P96" s="4"/>
    </row>
    <row r="97" spans="1:16" s="7" customFormat="1" x14ac:dyDescent="0.25">
      <c r="A97" s="3" t="s">
        <v>11</v>
      </c>
      <c r="B97" s="4">
        <v>766</v>
      </c>
      <c r="C97" s="5">
        <v>43259</v>
      </c>
      <c r="D97" s="4" t="str">
        <f>"0350120160800582500"</f>
        <v>0350120160800582500</v>
      </c>
      <c r="E97" s="5">
        <v>42585</v>
      </c>
      <c r="F97" s="5">
        <v>43260</v>
      </c>
      <c r="G97" s="5">
        <f>+N97+30</f>
        <v>43261</v>
      </c>
      <c r="H97" s="4" t="s">
        <v>12</v>
      </c>
      <c r="I97" s="4">
        <v>31.57</v>
      </c>
      <c r="J97" s="4">
        <v>2.87</v>
      </c>
      <c r="K97" s="4">
        <v>28.7</v>
      </c>
      <c r="L97" s="4">
        <v>-1</v>
      </c>
      <c r="M97" s="6">
        <f>+L97*K97</f>
        <v>-28.7</v>
      </c>
      <c r="N97" s="8">
        <v>43231</v>
      </c>
      <c r="O97" s="4">
        <f>+G97-E97</f>
        <v>676</v>
      </c>
      <c r="P97" s="4"/>
    </row>
    <row r="98" spans="1:16" s="7" customFormat="1" x14ac:dyDescent="0.25">
      <c r="A98" s="3" t="s">
        <v>11</v>
      </c>
      <c r="B98" s="4">
        <v>769</v>
      </c>
      <c r="C98" s="5">
        <v>43260</v>
      </c>
      <c r="D98" s="4" t="str">
        <f>"0350120160800583400"</f>
        <v>0350120160800583400</v>
      </c>
      <c r="E98" s="5">
        <v>42585</v>
      </c>
      <c r="F98" s="5">
        <v>43260</v>
      </c>
      <c r="G98" s="5">
        <f>+N98+30</f>
        <v>43261</v>
      </c>
      <c r="H98" s="4" t="s">
        <v>12</v>
      </c>
      <c r="I98" s="4">
        <v>28.93</v>
      </c>
      <c r="J98" s="4">
        <v>2.63</v>
      </c>
      <c r="K98" s="4">
        <v>26.3</v>
      </c>
      <c r="L98" s="4">
        <v>-1</v>
      </c>
      <c r="M98" s="6">
        <f>+L98*K98</f>
        <v>-26.3</v>
      </c>
      <c r="N98" s="8">
        <v>43231</v>
      </c>
      <c r="O98" s="4">
        <f>+G98-E98</f>
        <v>676</v>
      </c>
      <c r="P98" s="4"/>
    </row>
    <row r="99" spans="1:16" s="7" customFormat="1" x14ac:dyDescent="0.25">
      <c r="A99" s="3" t="s">
        <v>11</v>
      </c>
      <c r="B99" s="4">
        <v>772</v>
      </c>
      <c r="C99" s="5">
        <v>43260</v>
      </c>
      <c r="D99" s="4" t="str">
        <f>"0350120160800582800"</f>
        <v>0350120160800582800</v>
      </c>
      <c r="E99" s="5">
        <v>42585</v>
      </c>
      <c r="F99" s="5">
        <v>43260</v>
      </c>
      <c r="G99" s="5">
        <f>+N99+30</f>
        <v>43261</v>
      </c>
      <c r="H99" s="4" t="s">
        <v>12</v>
      </c>
      <c r="I99" s="4">
        <v>549</v>
      </c>
      <c r="J99" s="4">
        <v>49.91</v>
      </c>
      <c r="K99" s="4">
        <v>499.09</v>
      </c>
      <c r="L99" s="4">
        <v>-1</v>
      </c>
      <c r="M99" s="6">
        <f>+L99*K99</f>
        <v>-499.09</v>
      </c>
      <c r="N99" s="8">
        <v>43231</v>
      </c>
      <c r="O99" s="4">
        <f>+G99-E99</f>
        <v>676</v>
      </c>
      <c r="P99" s="4"/>
    </row>
    <row r="100" spans="1:16" s="7" customFormat="1" x14ac:dyDescent="0.25">
      <c r="A100" s="3" t="s">
        <v>11</v>
      </c>
      <c r="B100" s="4">
        <v>769</v>
      </c>
      <c r="C100" s="5">
        <v>43260</v>
      </c>
      <c r="D100" s="4" t="str">
        <f>"0350120160800583000"</f>
        <v>0350120160800583000</v>
      </c>
      <c r="E100" s="5">
        <v>42585</v>
      </c>
      <c r="F100" s="5">
        <v>43260</v>
      </c>
      <c r="G100" s="5">
        <f>+N100+30</f>
        <v>43261</v>
      </c>
      <c r="H100" s="4" t="s">
        <v>12</v>
      </c>
      <c r="I100" s="4">
        <v>12.16</v>
      </c>
      <c r="J100" s="4">
        <v>1.1100000000000001</v>
      </c>
      <c r="K100" s="4">
        <v>11.05</v>
      </c>
      <c r="L100" s="4">
        <v>-1</v>
      </c>
      <c r="M100" s="6">
        <f>+L100*K100</f>
        <v>-11.05</v>
      </c>
      <c r="N100" s="8">
        <v>43231</v>
      </c>
      <c r="O100" s="4">
        <f>+G100-E100</f>
        <v>676</v>
      </c>
      <c r="P100" s="4"/>
    </row>
    <row r="101" spans="1:16" s="7" customFormat="1" x14ac:dyDescent="0.25">
      <c r="A101" s="3" t="s">
        <v>11</v>
      </c>
      <c r="B101" s="4">
        <v>775</v>
      </c>
      <c r="C101" s="5">
        <v>43260</v>
      </c>
      <c r="D101" s="4" t="str">
        <f>"0350120160800582600"</f>
        <v>0350120160800582600</v>
      </c>
      <c r="E101" s="5">
        <v>42585</v>
      </c>
      <c r="F101" s="5">
        <v>43260</v>
      </c>
      <c r="G101" s="5">
        <f>+N101+30</f>
        <v>43261</v>
      </c>
      <c r="H101" s="4" t="s">
        <v>12</v>
      </c>
      <c r="I101" s="4">
        <v>389.6</v>
      </c>
      <c r="J101" s="4">
        <v>35.42</v>
      </c>
      <c r="K101" s="4">
        <v>354.18</v>
      </c>
      <c r="L101" s="4">
        <v>-1</v>
      </c>
      <c r="M101" s="6">
        <f>+L101*K101</f>
        <v>-354.18</v>
      </c>
      <c r="N101" s="8">
        <v>43231</v>
      </c>
      <c r="O101" s="4">
        <f>+G101-E101</f>
        <v>676</v>
      </c>
      <c r="P101" s="4"/>
    </row>
    <row r="102" spans="1:16" s="7" customFormat="1" x14ac:dyDescent="0.25">
      <c r="A102" s="3" t="s">
        <v>11</v>
      </c>
      <c r="B102" s="4">
        <v>771</v>
      </c>
      <c r="C102" s="5">
        <v>43260</v>
      </c>
      <c r="D102" s="4" t="str">
        <f>"0350120160800584000"</f>
        <v>0350120160800584000</v>
      </c>
      <c r="E102" s="5">
        <v>42585</v>
      </c>
      <c r="F102" s="5">
        <v>43260</v>
      </c>
      <c r="G102" s="5">
        <f>+N102+30</f>
        <v>43261</v>
      </c>
      <c r="H102" s="4" t="s">
        <v>12</v>
      </c>
      <c r="I102" s="4">
        <v>892.77</v>
      </c>
      <c r="J102" s="4">
        <v>81.16</v>
      </c>
      <c r="K102" s="4">
        <v>811.61</v>
      </c>
      <c r="L102" s="4">
        <v>-1</v>
      </c>
      <c r="M102" s="6">
        <f>+L102*K102</f>
        <v>-811.61</v>
      </c>
      <c r="N102" s="8">
        <v>43231</v>
      </c>
      <c r="O102" s="4">
        <f>+G102-E102</f>
        <v>676</v>
      </c>
      <c r="P102" s="4"/>
    </row>
    <row r="103" spans="1:16" s="7" customFormat="1" x14ac:dyDescent="0.25">
      <c r="A103" s="3" t="s">
        <v>11</v>
      </c>
      <c r="B103" s="4">
        <v>766</v>
      </c>
      <c r="C103" s="5">
        <v>43259</v>
      </c>
      <c r="D103" s="4" t="str">
        <f>"0350120160800583200"</f>
        <v>0350120160800583200</v>
      </c>
      <c r="E103" s="5">
        <v>42585</v>
      </c>
      <c r="F103" s="5">
        <v>43260</v>
      </c>
      <c r="G103" s="5">
        <f>+N103+30</f>
        <v>43261</v>
      </c>
      <c r="H103" s="4" t="s">
        <v>12</v>
      </c>
      <c r="I103" s="4">
        <v>0.42</v>
      </c>
      <c r="J103" s="4">
        <v>0.04</v>
      </c>
      <c r="K103" s="4">
        <v>0.38</v>
      </c>
      <c r="L103" s="4">
        <v>-1</v>
      </c>
      <c r="M103" s="6">
        <f>+L103*K103</f>
        <v>-0.38</v>
      </c>
      <c r="N103" s="8">
        <v>43231</v>
      </c>
      <c r="O103" s="4">
        <f>+G103-E103</f>
        <v>676</v>
      </c>
      <c r="P103" s="4"/>
    </row>
    <row r="104" spans="1:16" s="7" customFormat="1" x14ac:dyDescent="0.25">
      <c r="A104" s="3" t="s">
        <v>11</v>
      </c>
      <c r="B104" s="4">
        <v>766</v>
      </c>
      <c r="C104" s="5">
        <v>43259</v>
      </c>
      <c r="D104" s="4" t="str">
        <f>"0350120160800582300"</f>
        <v>0350120160800582300</v>
      </c>
      <c r="E104" s="5">
        <v>42585</v>
      </c>
      <c r="F104" s="5">
        <v>43260</v>
      </c>
      <c r="G104" s="5">
        <f>+N104+30</f>
        <v>43261</v>
      </c>
      <c r="H104" s="4" t="s">
        <v>12</v>
      </c>
      <c r="I104" s="4">
        <v>24.77</v>
      </c>
      <c r="J104" s="4">
        <v>2.25</v>
      </c>
      <c r="K104" s="4">
        <v>22.52</v>
      </c>
      <c r="L104" s="4">
        <v>-1</v>
      </c>
      <c r="M104" s="6">
        <f>+L104*K104</f>
        <v>-22.52</v>
      </c>
      <c r="N104" s="8">
        <v>43231</v>
      </c>
      <c r="O104" s="4">
        <f>+G104-E104</f>
        <v>676</v>
      </c>
      <c r="P104" s="4"/>
    </row>
    <row r="105" spans="1:16" s="7" customFormat="1" x14ac:dyDescent="0.25">
      <c r="A105" s="3" t="s">
        <v>11</v>
      </c>
      <c r="B105" s="4">
        <v>769</v>
      </c>
      <c r="C105" s="5">
        <v>43260</v>
      </c>
      <c r="D105" s="4" t="str">
        <f>"0350120160800583500"</f>
        <v>0350120160800583500</v>
      </c>
      <c r="E105" s="5">
        <v>42585</v>
      </c>
      <c r="F105" s="5">
        <v>43260</v>
      </c>
      <c r="G105" s="5">
        <f>+N105+30</f>
        <v>43261</v>
      </c>
      <c r="H105" s="4" t="s">
        <v>12</v>
      </c>
      <c r="I105" s="4">
        <v>2.64</v>
      </c>
      <c r="J105" s="4">
        <v>0.24</v>
      </c>
      <c r="K105" s="4">
        <v>2.4</v>
      </c>
      <c r="L105" s="4">
        <v>-1</v>
      </c>
      <c r="M105" s="6">
        <f>+L105*K105</f>
        <v>-2.4</v>
      </c>
      <c r="N105" s="8">
        <v>43231</v>
      </c>
      <c r="O105" s="4">
        <f>+G105-E105</f>
        <v>676</v>
      </c>
      <c r="P105" s="4"/>
    </row>
    <row r="106" spans="1:16" s="7" customFormat="1" x14ac:dyDescent="0.25">
      <c r="A106" s="3" t="s">
        <v>25</v>
      </c>
      <c r="B106" s="4">
        <v>789</v>
      </c>
      <c r="C106" s="5">
        <v>43267</v>
      </c>
      <c r="D106" s="4" t="s">
        <v>26</v>
      </c>
      <c r="E106" s="5">
        <v>43220</v>
      </c>
      <c r="F106" s="5">
        <v>43267</v>
      </c>
      <c r="G106" s="5">
        <v>43268</v>
      </c>
      <c r="H106" s="4" t="s">
        <v>12</v>
      </c>
      <c r="I106" s="4">
        <v>805.2</v>
      </c>
      <c r="J106" s="4">
        <v>145.19999999999999</v>
      </c>
      <c r="K106" s="4">
        <v>660</v>
      </c>
      <c r="L106" s="4">
        <v>-1</v>
      </c>
      <c r="M106" s="6">
        <f>+L106*K106</f>
        <v>-660</v>
      </c>
      <c r="N106" s="8">
        <v>43238</v>
      </c>
      <c r="O106" s="4">
        <f>+G106-E106</f>
        <v>48</v>
      </c>
      <c r="P106" s="4">
        <f>+N106-G106</f>
        <v>-30</v>
      </c>
    </row>
    <row r="107" spans="1:16" s="7" customFormat="1" ht="30" x14ac:dyDescent="0.25">
      <c r="A107" s="3" t="s">
        <v>31</v>
      </c>
      <c r="B107" s="4">
        <v>443</v>
      </c>
      <c r="C107" s="5">
        <v>43197</v>
      </c>
      <c r="D107" s="4" t="str">
        <f>"8018049526"</f>
        <v>8018049526</v>
      </c>
      <c r="E107" s="5">
        <v>43168</v>
      </c>
      <c r="F107" s="5">
        <v>43197</v>
      </c>
      <c r="G107" s="5">
        <v>43198</v>
      </c>
      <c r="H107" s="4" t="s">
        <v>15</v>
      </c>
      <c r="I107" s="4">
        <v>65.88</v>
      </c>
      <c r="J107" s="4">
        <v>65.88</v>
      </c>
      <c r="K107" s="4">
        <v>0</v>
      </c>
      <c r="L107" s="4">
        <v>-1</v>
      </c>
      <c r="M107" s="6">
        <f>+L107*K107</f>
        <v>0</v>
      </c>
      <c r="O107" s="4">
        <f>+G107-E107</f>
        <v>30</v>
      </c>
      <c r="P107" s="4">
        <f>+N107-G107</f>
        <v>-43198</v>
      </c>
    </row>
    <row r="108" spans="1:16" s="7" customFormat="1" x14ac:dyDescent="0.25">
      <c r="A108" s="3" t="s">
        <v>40</v>
      </c>
      <c r="B108" s="4">
        <v>1001</v>
      </c>
      <c r="C108" s="5">
        <v>43281</v>
      </c>
      <c r="D108" s="4" t="s">
        <v>99</v>
      </c>
      <c r="E108" s="5">
        <v>43252</v>
      </c>
      <c r="F108" s="5">
        <v>43281</v>
      </c>
      <c r="G108" s="5">
        <v>43282</v>
      </c>
      <c r="H108" s="4" t="s">
        <v>12</v>
      </c>
      <c r="I108" s="6">
        <v>2926.38</v>
      </c>
      <c r="J108" s="4">
        <v>527.71</v>
      </c>
      <c r="K108" s="6">
        <v>2398.67</v>
      </c>
      <c r="L108" s="4">
        <v>-1</v>
      </c>
      <c r="M108" s="6">
        <f>+L108*K108</f>
        <v>-2398.67</v>
      </c>
      <c r="O108" s="4">
        <f>+G108-E108</f>
        <v>30</v>
      </c>
      <c r="P108" s="4">
        <f>+N108-G108</f>
        <v>-43282</v>
      </c>
    </row>
    <row r="109" spans="1:16" s="7" customFormat="1" x14ac:dyDescent="0.25">
      <c r="A109" s="3" t="s">
        <v>40</v>
      </c>
      <c r="B109" s="4">
        <v>731</v>
      </c>
      <c r="C109" s="5">
        <v>43251</v>
      </c>
      <c r="D109" s="4" t="s">
        <v>100</v>
      </c>
      <c r="E109" s="5">
        <v>43222</v>
      </c>
      <c r="F109" s="5">
        <v>43252</v>
      </c>
      <c r="G109" s="5">
        <v>43253</v>
      </c>
      <c r="H109" s="4" t="s">
        <v>12</v>
      </c>
      <c r="I109" s="6">
        <v>2926.38</v>
      </c>
      <c r="J109" s="4">
        <v>527.71</v>
      </c>
      <c r="K109" s="6">
        <v>2398.67</v>
      </c>
      <c r="L109" s="4">
        <v>-1</v>
      </c>
      <c r="M109" s="6">
        <f>+L109*K109</f>
        <v>-2398.67</v>
      </c>
      <c r="O109" s="4">
        <f>+G109-E109</f>
        <v>31</v>
      </c>
      <c r="P109" s="4">
        <f>+N109-G109</f>
        <v>-43253</v>
      </c>
    </row>
    <row r="110" spans="1:16" s="7" customFormat="1" x14ac:dyDescent="0.25">
      <c r="A110" s="3" t="s">
        <v>101</v>
      </c>
      <c r="B110" s="4">
        <v>795</v>
      </c>
      <c r="C110" s="5">
        <v>43267</v>
      </c>
      <c r="D110" s="4" t="str">
        <f>"0000006442"</f>
        <v>0000006442</v>
      </c>
      <c r="E110" s="5">
        <v>43208</v>
      </c>
      <c r="F110" s="5">
        <v>43267</v>
      </c>
      <c r="G110" s="5">
        <v>43268</v>
      </c>
      <c r="H110" s="4" t="s">
        <v>12</v>
      </c>
      <c r="I110" s="4">
        <v>63.24</v>
      </c>
      <c r="J110" s="4">
        <v>11.4</v>
      </c>
      <c r="K110" s="4">
        <v>51.84</v>
      </c>
      <c r="L110" s="4">
        <v>-1</v>
      </c>
      <c r="M110" s="6">
        <f>+L110*K110</f>
        <v>-51.84</v>
      </c>
      <c r="O110" s="4">
        <f>+G110-E110</f>
        <v>60</v>
      </c>
      <c r="P110" s="4">
        <f>+N110-G110</f>
        <v>-43268</v>
      </c>
    </row>
    <row r="111" spans="1:16" s="7" customFormat="1" x14ac:dyDescent="0.25">
      <c r="A111" s="3" t="s">
        <v>101</v>
      </c>
      <c r="B111" s="4">
        <v>796</v>
      </c>
      <c r="C111" s="5">
        <v>43267</v>
      </c>
      <c r="D111" s="4" t="str">
        <f>"0000006441"</f>
        <v>0000006441</v>
      </c>
      <c r="E111" s="5">
        <v>43208</v>
      </c>
      <c r="F111" s="5">
        <v>43267</v>
      </c>
      <c r="G111" s="5">
        <v>43268</v>
      </c>
      <c r="H111" s="4" t="s">
        <v>12</v>
      </c>
      <c r="I111" s="4">
        <v>57.91</v>
      </c>
      <c r="J111" s="4">
        <v>10.44</v>
      </c>
      <c r="K111" s="4">
        <v>47.47</v>
      </c>
      <c r="L111" s="4">
        <v>-1</v>
      </c>
      <c r="M111" s="6">
        <f>+L111*K111</f>
        <v>-47.47</v>
      </c>
      <c r="O111" s="4">
        <f>+G111-E111</f>
        <v>60</v>
      </c>
      <c r="P111" s="4">
        <f>+N111-G111</f>
        <v>-43268</v>
      </c>
    </row>
    <row r="112" spans="1:16" s="7" customFormat="1" x14ac:dyDescent="0.25">
      <c r="A112" s="3" t="s">
        <v>23</v>
      </c>
      <c r="B112" s="4">
        <v>727</v>
      </c>
      <c r="C112" s="5">
        <v>43251</v>
      </c>
      <c r="D112" s="4" t="s">
        <v>58</v>
      </c>
      <c r="E112" s="5">
        <v>43222</v>
      </c>
      <c r="F112" s="5">
        <v>43252</v>
      </c>
      <c r="G112" s="5">
        <v>43254</v>
      </c>
      <c r="H112" s="4" t="s">
        <v>12</v>
      </c>
      <c r="I112" s="4">
        <v>384.68</v>
      </c>
      <c r="J112" s="4">
        <v>69.37</v>
      </c>
      <c r="K112" s="4">
        <v>315.31</v>
      </c>
      <c r="L112" s="4">
        <v>-2</v>
      </c>
      <c r="M112" s="6">
        <f>+L112*K112</f>
        <v>-630.62</v>
      </c>
      <c r="N112" s="8">
        <v>43224</v>
      </c>
      <c r="O112" s="4">
        <f>+G112-E112</f>
        <v>32</v>
      </c>
      <c r="P112" s="4">
        <f>+N112-G112</f>
        <v>-30</v>
      </c>
    </row>
    <row r="113" spans="1:16" s="7" customFormat="1" x14ac:dyDescent="0.25">
      <c r="A113" s="3" t="s">
        <v>23</v>
      </c>
      <c r="B113" s="4">
        <v>724</v>
      </c>
      <c r="C113" s="5">
        <v>43251</v>
      </c>
      <c r="D113" s="4" t="s">
        <v>59</v>
      </c>
      <c r="E113" s="5">
        <v>43222</v>
      </c>
      <c r="F113" s="5">
        <v>43252</v>
      </c>
      <c r="G113" s="5">
        <v>43254</v>
      </c>
      <c r="H113" s="4" t="s">
        <v>12</v>
      </c>
      <c r="I113" s="4">
        <v>913.94</v>
      </c>
      <c r="J113" s="4">
        <v>164.81</v>
      </c>
      <c r="K113" s="4">
        <v>749.13</v>
      </c>
      <c r="L113" s="4">
        <v>-2</v>
      </c>
      <c r="M113" s="6">
        <f>+L113*K113</f>
        <v>-1498.26</v>
      </c>
      <c r="N113" s="8">
        <v>43224</v>
      </c>
      <c r="O113" s="4">
        <f>+G113-E113</f>
        <v>32</v>
      </c>
      <c r="P113" s="4">
        <f>+N113-G113</f>
        <v>-30</v>
      </c>
    </row>
    <row r="114" spans="1:16" s="7" customFormat="1" x14ac:dyDescent="0.25">
      <c r="A114" s="3" t="s">
        <v>23</v>
      </c>
      <c r="B114" s="4">
        <v>723</v>
      </c>
      <c r="C114" s="5">
        <v>43251</v>
      </c>
      <c r="D114" s="4" t="s">
        <v>60</v>
      </c>
      <c r="E114" s="5">
        <v>43222</v>
      </c>
      <c r="F114" s="5">
        <v>43252</v>
      </c>
      <c r="G114" s="5">
        <v>43254</v>
      </c>
      <c r="H114" s="4" t="s">
        <v>12</v>
      </c>
      <c r="I114" s="4">
        <v>331.25</v>
      </c>
      <c r="J114" s="4">
        <v>61.54</v>
      </c>
      <c r="K114" s="4">
        <v>269.70999999999998</v>
      </c>
      <c r="L114" s="4">
        <v>-2</v>
      </c>
      <c r="M114" s="6">
        <f>+L114*K114</f>
        <v>-539.41999999999996</v>
      </c>
      <c r="N114" s="8">
        <v>43224</v>
      </c>
      <c r="O114" s="4">
        <f>+G114-E114</f>
        <v>32</v>
      </c>
      <c r="P114" s="4">
        <f>+N114-G114</f>
        <v>-30</v>
      </c>
    </row>
    <row r="115" spans="1:16" s="7" customFormat="1" x14ac:dyDescent="0.25">
      <c r="A115" s="3" t="s">
        <v>23</v>
      </c>
      <c r="B115" s="4">
        <v>722</v>
      </c>
      <c r="C115" s="5">
        <v>43251</v>
      </c>
      <c r="D115" s="4" t="s">
        <v>61</v>
      </c>
      <c r="E115" s="5">
        <v>43222</v>
      </c>
      <c r="F115" s="5">
        <v>43252</v>
      </c>
      <c r="G115" s="5">
        <v>43254</v>
      </c>
      <c r="H115" s="4" t="s">
        <v>12</v>
      </c>
      <c r="I115" s="6">
        <v>1400.07</v>
      </c>
      <c r="J115" s="4">
        <v>252.47</v>
      </c>
      <c r="K115" s="6">
        <v>1147.5999999999999</v>
      </c>
      <c r="L115" s="4">
        <v>-2</v>
      </c>
      <c r="M115" s="6">
        <f>+L115*K115</f>
        <v>-2295.1999999999998</v>
      </c>
      <c r="N115" s="8">
        <v>43224</v>
      </c>
      <c r="O115" s="4">
        <f>+G115-E115</f>
        <v>32</v>
      </c>
      <c r="P115" s="4">
        <f>+N115-G115</f>
        <v>-30</v>
      </c>
    </row>
    <row r="116" spans="1:16" s="7" customFormat="1" x14ac:dyDescent="0.25">
      <c r="A116" s="3" t="s">
        <v>23</v>
      </c>
      <c r="B116" s="4">
        <v>719</v>
      </c>
      <c r="C116" s="5">
        <v>43251</v>
      </c>
      <c r="D116" s="4" t="s">
        <v>62</v>
      </c>
      <c r="E116" s="5">
        <v>43222</v>
      </c>
      <c r="F116" s="5">
        <v>43252</v>
      </c>
      <c r="G116" s="5">
        <v>43254</v>
      </c>
      <c r="H116" s="4" t="s">
        <v>12</v>
      </c>
      <c r="I116" s="4">
        <v>251.77</v>
      </c>
      <c r="J116" s="4">
        <v>45.4</v>
      </c>
      <c r="K116" s="4">
        <v>206.37</v>
      </c>
      <c r="L116" s="4">
        <v>-2</v>
      </c>
      <c r="M116" s="6">
        <f>+L116*K116</f>
        <v>-412.74</v>
      </c>
      <c r="N116" s="8">
        <v>43224</v>
      </c>
      <c r="O116" s="4">
        <f>+G116-E116</f>
        <v>32</v>
      </c>
      <c r="P116" s="4">
        <f>+N116-G116</f>
        <v>-30</v>
      </c>
    </row>
    <row r="117" spans="1:16" s="7" customFormat="1" x14ac:dyDescent="0.25">
      <c r="A117" s="3" t="s">
        <v>23</v>
      </c>
      <c r="B117" s="4">
        <v>728</v>
      </c>
      <c r="C117" s="5">
        <v>43251</v>
      </c>
      <c r="D117" s="4" t="s">
        <v>63</v>
      </c>
      <c r="E117" s="5">
        <v>43222</v>
      </c>
      <c r="F117" s="5">
        <v>43252</v>
      </c>
      <c r="G117" s="5">
        <v>43254</v>
      </c>
      <c r="H117" s="4" t="s">
        <v>12</v>
      </c>
      <c r="I117" s="4">
        <v>509.15</v>
      </c>
      <c r="J117" s="4">
        <v>91.81</v>
      </c>
      <c r="K117" s="4">
        <v>417.34</v>
      </c>
      <c r="L117" s="4">
        <v>-2</v>
      </c>
      <c r="M117" s="6">
        <f>+L117*K117</f>
        <v>-834.68</v>
      </c>
      <c r="N117" s="8">
        <v>43224</v>
      </c>
      <c r="O117" s="4">
        <f>+G117-E117</f>
        <v>32</v>
      </c>
      <c r="P117" s="4">
        <f>+N117-G117</f>
        <v>-30</v>
      </c>
    </row>
    <row r="118" spans="1:16" s="7" customFormat="1" x14ac:dyDescent="0.25">
      <c r="A118" s="3" t="s">
        <v>23</v>
      </c>
      <c r="B118" s="4">
        <v>721</v>
      </c>
      <c r="C118" s="5">
        <v>43251</v>
      </c>
      <c r="D118" s="4" t="s">
        <v>64</v>
      </c>
      <c r="E118" s="5">
        <v>43222</v>
      </c>
      <c r="F118" s="5">
        <v>43252</v>
      </c>
      <c r="G118" s="5">
        <v>43254</v>
      </c>
      <c r="H118" s="4" t="s">
        <v>12</v>
      </c>
      <c r="I118" s="4">
        <v>351.32</v>
      </c>
      <c r="J118" s="4">
        <v>45.1</v>
      </c>
      <c r="K118" s="4">
        <v>306.22000000000003</v>
      </c>
      <c r="L118" s="4">
        <v>-2</v>
      </c>
      <c r="M118" s="6">
        <f>+L118*K118</f>
        <v>-612.44000000000005</v>
      </c>
      <c r="N118" s="8">
        <v>43224</v>
      </c>
      <c r="O118" s="4">
        <f>+G118-E118</f>
        <v>32</v>
      </c>
      <c r="P118" s="4">
        <f>+N118-G118</f>
        <v>-30</v>
      </c>
    </row>
    <row r="119" spans="1:16" s="7" customFormat="1" x14ac:dyDescent="0.25">
      <c r="A119" s="3" t="s">
        <v>23</v>
      </c>
      <c r="B119" s="4">
        <v>726</v>
      </c>
      <c r="C119" s="5">
        <v>43251</v>
      </c>
      <c r="D119" s="4" t="s">
        <v>65</v>
      </c>
      <c r="E119" s="5">
        <v>43222</v>
      </c>
      <c r="F119" s="5">
        <v>43252</v>
      </c>
      <c r="G119" s="5">
        <v>43254</v>
      </c>
      <c r="H119" s="4" t="s">
        <v>12</v>
      </c>
      <c r="I119" s="4">
        <v>298.45999999999998</v>
      </c>
      <c r="J119" s="4">
        <v>53.82</v>
      </c>
      <c r="K119" s="4">
        <v>244.64</v>
      </c>
      <c r="L119" s="4">
        <v>-2</v>
      </c>
      <c r="M119" s="6">
        <f>+L119*K119</f>
        <v>-489.28</v>
      </c>
      <c r="N119" s="8">
        <v>43224</v>
      </c>
      <c r="O119" s="4">
        <f>+G119-E119</f>
        <v>32</v>
      </c>
      <c r="P119" s="4">
        <f>+N119-G119</f>
        <v>-30</v>
      </c>
    </row>
    <row r="120" spans="1:16" s="7" customFormat="1" x14ac:dyDescent="0.25">
      <c r="A120" s="3" t="s">
        <v>23</v>
      </c>
      <c r="B120" s="4">
        <v>720</v>
      </c>
      <c r="C120" s="5">
        <v>43251</v>
      </c>
      <c r="D120" s="4" t="s">
        <v>66</v>
      </c>
      <c r="E120" s="5">
        <v>43222</v>
      </c>
      <c r="F120" s="5">
        <v>43252</v>
      </c>
      <c r="G120" s="5">
        <v>43254</v>
      </c>
      <c r="H120" s="4" t="s">
        <v>12</v>
      </c>
      <c r="I120" s="4">
        <v>738.28</v>
      </c>
      <c r="J120" s="4">
        <v>133.13</v>
      </c>
      <c r="K120" s="4">
        <v>605.15</v>
      </c>
      <c r="L120" s="4">
        <v>-2</v>
      </c>
      <c r="M120" s="6">
        <f>+L120*K120</f>
        <v>-1210.3</v>
      </c>
      <c r="N120" s="8">
        <v>43224</v>
      </c>
      <c r="O120" s="4">
        <f>+G120-E120</f>
        <v>32</v>
      </c>
      <c r="P120" s="4">
        <f>+N120-G120</f>
        <v>-30</v>
      </c>
    </row>
    <row r="121" spans="1:16" s="7" customFormat="1" x14ac:dyDescent="0.25">
      <c r="A121" s="3" t="s">
        <v>23</v>
      </c>
      <c r="B121" s="4">
        <v>725</v>
      </c>
      <c r="C121" s="5">
        <v>43251</v>
      </c>
      <c r="D121" s="4" t="s">
        <v>67</v>
      </c>
      <c r="E121" s="5">
        <v>43222</v>
      </c>
      <c r="F121" s="5">
        <v>43252</v>
      </c>
      <c r="G121" s="5">
        <v>43254</v>
      </c>
      <c r="H121" s="4" t="s">
        <v>12</v>
      </c>
      <c r="I121" s="4">
        <v>251.26</v>
      </c>
      <c r="J121" s="4">
        <v>45.31</v>
      </c>
      <c r="K121" s="4">
        <v>205.95</v>
      </c>
      <c r="L121" s="4">
        <v>-2</v>
      </c>
      <c r="M121" s="6">
        <f>+L121*K121</f>
        <v>-411.9</v>
      </c>
      <c r="N121" s="8">
        <v>43224</v>
      </c>
      <c r="O121" s="4">
        <f>+G121-E121</f>
        <v>32</v>
      </c>
      <c r="P121" s="4">
        <f>+N121-G121</f>
        <v>-30</v>
      </c>
    </row>
    <row r="122" spans="1:16" s="7" customFormat="1" x14ac:dyDescent="0.25">
      <c r="A122" s="3" t="s">
        <v>23</v>
      </c>
      <c r="B122" s="4">
        <v>718</v>
      </c>
      <c r="C122" s="5">
        <v>43251</v>
      </c>
      <c r="D122" s="4" t="s">
        <v>68</v>
      </c>
      <c r="E122" s="5">
        <v>43222</v>
      </c>
      <c r="F122" s="5">
        <v>43252</v>
      </c>
      <c r="G122" s="5">
        <v>43254</v>
      </c>
      <c r="H122" s="4" t="s">
        <v>12</v>
      </c>
      <c r="I122" s="4">
        <v>662.69</v>
      </c>
      <c r="J122" s="4">
        <v>119.5</v>
      </c>
      <c r="K122" s="4">
        <v>543.19000000000005</v>
      </c>
      <c r="L122" s="4">
        <v>-2</v>
      </c>
      <c r="M122" s="6">
        <f>+L122*K122</f>
        <v>-1086.3800000000001</v>
      </c>
      <c r="N122" s="8">
        <v>43224</v>
      </c>
      <c r="O122" s="4">
        <f>+G122-E122</f>
        <v>32</v>
      </c>
      <c r="P122" s="4">
        <f>+N122-G122</f>
        <v>-30</v>
      </c>
    </row>
    <row r="123" spans="1:16" s="7" customFormat="1" x14ac:dyDescent="0.25">
      <c r="A123" s="3" t="s">
        <v>102</v>
      </c>
      <c r="B123" s="4">
        <v>711</v>
      </c>
      <c r="C123" s="5">
        <v>43251</v>
      </c>
      <c r="D123" s="4" t="s">
        <v>103</v>
      </c>
      <c r="E123" s="5">
        <v>43220</v>
      </c>
      <c r="F123" s="5">
        <v>43251</v>
      </c>
      <c r="G123" s="5">
        <v>43253</v>
      </c>
      <c r="H123" s="4" t="s">
        <v>15</v>
      </c>
      <c r="I123" s="4">
        <v>808.86</v>
      </c>
      <c r="J123" s="4">
        <v>145.86000000000001</v>
      </c>
      <c r="K123" s="4">
        <v>663</v>
      </c>
      <c r="L123" s="4">
        <v>-2</v>
      </c>
      <c r="M123" s="6">
        <f>+L123*K123</f>
        <v>-1326</v>
      </c>
      <c r="O123" s="4">
        <f>+G123-E123</f>
        <v>33</v>
      </c>
      <c r="P123" s="4">
        <f>+N123-G123</f>
        <v>-43253</v>
      </c>
    </row>
    <row r="124" spans="1:16" s="7" customFormat="1" x14ac:dyDescent="0.25">
      <c r="A124" s="3" t="s">
        <v>23</v>
      </c>
      <c r="B124" s="4">
        <v>997</v>
      </c>
      <c r="C124" s="5">
        <v>43281</v>
      </c>
      <c r="D124" s="4" t="s">
        <v>69</v>
      </c>
      <c r="E124" s="5">
        <v>43252</v>
      </c>
      <c r="F124" s="5">
        <v>43281</v>
      </c>
      <c r="G124" s="5">
        <v>43285</v>
      </c>
      <c r="H124" s="4" t="s">
        <v>12</v>
      </c>
      <c r="I124" s="4">
        <v>225.1</v>
      </c>
      <c r="J124" s="4">
        <v>40.590000000000003</v>
      </c>
      <c r="K124" s="4">
        <v>184.51</v>
      </c>
      <c r="L124" s="4">
        <v>-4</v>
      </c>
      <c r="M124" s="6">
        <f>+L124*K124</f>
        <v>-738.04</v>
      </c>
      <c r="N124" s="8">
        <v>43255</v>
      </c>
      <c r="O124" s="4">
        <f>+G124-E124</f>
        <v>33</v>
      </c>
      <c r="P124" s="4">
        <f>+N124-G124</f>
        <v>-30</v>
      </c>
    </row>
    <row r="125" spans="1:16" s="7" customFormat="1" x14ac:dyDescent="0.25">
      <c r="A125" s="3" t="s">
        <v>23</v>
      </c>
      <c r="B125" s="4">
        <v>994</v>
      </c>
      <c r="C125" s="5">
        <v>43281</v>
      </c>
      <c r="D125" s="4" t="s">
        <v>70</v>
      </c>
      <c r="E125" s="5">
        <v>43252</v>
      </c>
      <c r="F125" s="5">
        <v>43281</v>
      </c>
      <c r="G125" s="5">
        <v>43285</v>
      </c>
      <c r="H125" s="4" t="s">
        <v>12</v>
      </c>
      <c r="I125" s="4">
        <v>350.69</v>
      </c>
      <c r="J125" s="4">
        <v>65.040000000000006</v>
      </c>
      <c r="K125" s="4">
        <v>285.64999999999998</v>
      </c>
      <c r="L125" s="4">
        <v>-4</v>
      </c>
      <c r="M125" s="6">
        <f>+L125*K125</f>
        <v>-1142.5999999999999</v>
      </c>
      <c r="N125" s="8">
        <v>43255</v>
      </c>
      <c r="O125" s="4">
        <f>+G125-E125</f>
        <v>33</v>
      </c>
      <c r="P125" s="4">
        <f>+N125-G125</f>
        <v>-30</v>
      </c>
    </row>
    <row r="126" spans="1:16" s="7" customFormat="1" x14ac:dyDescent="0.25">
      <c r="A126" s="3" t="s">
        <v>23</v>
      </c>
      <c r="B126" s="4">
        <v>999</v>
      </c>
      <c r="C126" s="5">
        <v>43281</v>
      </c>
      <c r="D126" s="4" t="s">
        <v>71</v>
      </c>
      <c r="E126" s="5">
        <v>43252</v>
      </c>
      <c r="F126" s="5">
        <v>43281</v>
      </c>
      <c r="G126" s="5">
        <v>43285</v>
      </c>
      <c r="H126" s="4" t="s">
        <v>12</v>
      </c>
      <c r="I126" s="4">
        <v>348.92</v>
      </c>
      <c r="J126" s="4">
        <v>62.92</v>
      </c>
      <c r="K126" s="4">
        <v>286</v>
      </c>
      <c r="L126" s="4">
        <v>-4</v>
      </c>
      <c r="M126" s="6">
        <f>+L126*K126</f>
        <v>-1144</v>
      </c>
      <c r="N126" s="8">
        <v>43255</v>
      </c>
      <c r="O126" s="4">
        <f>+G126-E126</f>
        <v>33</v>
      </c>
      <c r="P126" s="4">
        <f>+N126-G126</f>
        <v>-30</v>
      </c>
    </row>
    <row r="127" spans="1:16" s="7" customFormat="1" x14ac:dyDescent="0.25">
      <c r="A127" s="3" t="s">
        <v>23</v>
      </c>
      <c r="B127" s="4">
        <v>990</v>
      </c>
      <c r="C127" s="5">
        <v>43281</v>
      </c>
      <c r="D127" s="4" t="s">
        <v>72</v>
      </c>
      <c r="E127" s="5">
        <v>43252</v>
      </c>
      <c r="F127" s="5">
        <v>43281</v>
      </c>
      <c r="G127" s="5">
        <v>43285</v>
      </c>
      <c r="H127" s="4" t="s">
        <v>12</v>
      </c>
      <c r="I127" s="4">
        <v>408.59</v>
      </c>
      <c r="J127" s="4">
        <v>73.680000000000007</v>
      </c>
      <c r="K127" s="4">
        <v>334.91</v>
      </c>
      <c r="L127" s="4">
        <v>-4</v>
      </c>
      <c r="M127" s="6">
        <f>+L127*K127</f>
        <v>-1339.64</v>
      </c>
      <c r="N127" s="8">
        <v>43255</v>
      </c>
      <c r="O127" s="4">
        <f>+G127-E127</f>
        <v>33</v>
      </c>
      <c r="P127" s="4">
        <f>+N127-G127</f>
        <v>-30</v>
      </c>
    </row>
    <row r="128" spans="1:16" s="7" customFormat="1" x14ac:dyDescent="0.25">
      <c r="A128" s="3" t="s">
        <v>23</v>
      </c>
      <c r="B128" s="4">
        <v>996</v>
      </c>
      <c r="C128" s="5">
        <v>43281</v>
      </c>
      <c r="D128" s="4" t="s">
        <v>73</v>
      </c>
      <c r="E128" s="5">
        <v>43252</v>
      </c>
      <c r="F128" s="5">
        <v>43281</v>
      </c>
      <c r="G128" s="5">
        <v>43285</v>
      </c>
      <c r="H128" s="4" t="s">
        <v>12</v>
      </c>
      <c r="I128" s="4">
        <v>537.08000000000004</v>
      </c>
      <c r="J128" s="4">
        <v>96.85</v>
      </c>
      <c r="K128" s="4">
        <v>440.23</v>
      </c>
      <c r="L128" s="4">
        <v>-4</v>
      </c>
      <c r="M128" s="6">
        <f>+L128*K128</f>
        <v>-1760.92</v>
      </c>
      <c r="N128" s="8">
        <v>43255</v>
      </c>
      <c r="O128" s="4">
        <f>+G128-E128</f>
        <v>33</v>
      </c>
      <c r="P128" s="4">
        <f>+N128-G128</f>
        <v>-30</v>
      </c>
    </row>
    <row r="129" spans="1:16" s="7" customFormat="1" x14ac:dyDescent="0.25">
      <c r="A129" s="3" t="s">
        <v>23</v>
      </c>
      <c r="B129" s="4">
        <v>991</v>
      </c>
      <c r="C129" s="5">
        <v>43281</v>
      </c>
      <c r="D129" s="4" t="s">
        <v>74</v>
      </c>
      <c r="E129" s="5">
        <v>43252</v>
      </c>
      <c r="F129" s="5">
        <v>43281</v>
      </c>
      <c r="G129" s="5">
        <v>43285</v>
      </c>
      <c r="H129" s="4" t="s">
        <v>12</v>
      </c>
      <c r="I129" s="4">
        <v>220.86</v>
      </c>
      <c r="J129" s="4">
        <v>39.83</v>
      </c>
      <c r="K129" s="4">
        <v>181.03</v>
      </c>
      <c r="L129" s="4">
        <v>-4</v>
      </c>
      <c r="M129" s="6">
        <f>+L129*K129</f>
        <v>-724.12</v>
      </c>
      <c r="N129" s="8">
        <v>43255</v>
      </c>
      <c r="O129" s="4">
        <f>+G129-E129</f>
        <v>33</v>
      </c>
      <c r="P129" s="4">
        <f>+N129-G129</f>
        <v>-30</v>
      </c>
    </row>
    <row r="130" spans="1:16" s="7" customFormat="1" x14ac:dyDescent="0.25">
      <c r="A130" s="3" t="s">
        <v>23</v>
      </c>
      <c r="B130" s="4">
        <v>998</v>
      </c>
      <c r="C130" s="5">
        <v>43281</v>
      </c>
      <c r="D130" s="4" t="s">
        <v>75</v>
      </c>
      <c r="E130" s="5">
        <v>43252</v>
      </c>
      <c r="F130" s="5">
        <v>43281</v>
      </c>
      <c r="G130" s="5">
        <v>43285</v>
      </c>
      <c r="H130" s="4" t="s">
        <v>12</v>
      </c>
      <c r="I130" s="4">
        <v>111.09</v>
      </c>
      <c r="J130" s="4">
        <v>20.03</v>
      </c>
      <c r="K130" s="4">
        <v>91.06</v>
      </c>
      <c r="L130" s="4">
        <v>-4</v>
      </c>
      <c r="M130" s="6">
        <f>+L130*K130</f>
        <v>-364.24</v>
      </c>
      <c r="N130" s="8">
        <v>43255</v>
      </c>
      <c r="O130" s="4">
        <f>+G130-E130</f>
        <v>33</v>
      </c>
      <c r="P130" s="4">
        <f>+N130-G130</f>
        <v>-30</v>
      </c>
    </row>
    <row r="131" spans="1:16" s="7" customFormat="1" x14ac:dyDescent="0.25">
      <c r="A131" s="3" t="s">
        <v>23</v>
      </c>
      <c r="B131" s="4">
        <v>1000</v>
      </c>
      <c r="C131" s="5">
        <v>43281</v>
      </c>
      <c r="D131" s="4" t="s">
        <v>76</v>
      </c>
      <c r="E131" s="5">
        <v>43252</v>
      </c>
      <c r="F131" s="5">
        <v>43281</v>
      </c>
      <c r="G131" s="5">
        <v>43285</v>
      </c>
      <c r="H131" s="4" t="s">
        <v>12</v>
      </c>
      <c r="I131" s="4">
        <v>462.72</v>
      </c>
      <c r="J131" s="4">
        <v>83.44</v>
      </c>
      <c r="K131" s="4">
        <v>379.28</v>
      </c>
      <c r="L131" s="4">
        <v>-4</v>
      </c>
      <c r="M131" s="6">
        <f>+L131*K131</f>
        <v>-1517.12</v>
      </c>
      <c r="N131" s="8">
        <v>43255</v>
      </c>
      <c r="O131" s="4">
        <f>+G131-E131</f>
        <v>33</v>
      </c>
      <c r="P131" s="4">
        <f>+N131-G131</f>
        <v>-30</v>
      </c>
    </row>
    <row r="132" spans="1:16" s="7" customFormat="1" x14ac:dyDescent="0.25">
      <c r="A132" s="3" t="s">
        <v>23</v>
      </c>
      <c r="B132" s="4">
        <v>992</v>
      </c>
      <c r="C132" s="5">
        <v>43281</v>
      </c>
      <c r="D132" s="4" t="s">
        <v>77</v>
      </c>
      <c r="E132" s="5">
        <v>43252</v>
      </c>
      <c r="F132" s="5">
        <v>43281</v>
      </c>
      <c r="G132" s="5">
        <v>43285</v>
      </c>
      <c r="H132" s="4" t="s">
        <v>12</v>
      </c>
      <c r="I132" s="4">
        <v>672.5</v>
      </c>
      <c r="J132" s="4">
        <v>121.27</v>
      </c>
      <c r="K132" s="4">
        <v>551.23</v>
      </c>
      <c r="L132" s="4">
        <v>-4</v>
      </c>
      <c r="M132" s="6">
        <f>+L132*K132</f>
        <v>-2204.92</v>
      </c>
      <c r="N132" s="8">
        <v>43255</v>
      </c>
      <c r="O132" s="4">
        <f>+G132-E132</f>
        <v>33</v>
      </c>
      <c r="P132" s="4">
        <f>+N132-G132</f>
        <v>-30</v>
      </c>
    </row>
    <row r="133" spans="1:16" s="7" customFormat="1" x14ac:dyDescent="0.25">
      <c r="A133" s="3" t="s">
        <v>23</v>
      </c>
      <c r="B133" s="4">
        <v>995</v>
      </c>
      <c r="C133" s="5">
        <v>43281</v>
      </c>
      <c r="D133" s="4" t="s">
        <v>78</v>
      </c>
      <c r="E133" s="5">
        <v>43252</v>
      </c>
      <c r="F133" s="5">
        <v>43281</v>
      </c>
      <c r="G133" s="5">
        <v>43285</v>
      </c>
      <c r="H133" s="4" t="s">
        <v>12</v>
      </c>
      <c r="I133" s="4">
        <v>236.07</v>
      </c>
      <c r="J133" s="4">
        <v>42.57</v>
      </c>
      <c r="K133" s="4">
        <v>193.5</v>
      </c>
      <c r="L133" s="4">
        <v>-4</v>
      </c>
      <c r="M133" s="6">
        <f>+L133*K133</f>
        <v>-774</v>
      </c>
      <c r="N133" s="8">
        <v>43255</v>
      </c>
      <c r="O133" s="4">
        <f>+G133-E133</f>
        <v>33</v>
      </c>
      <c r="P133" s="4">
        <f>+N133-G133</f>
        <v>-30</v>
      </c>
    </row>
    <row r="134" spans="1:16" s="7" customFormat="1" x14ac:dyDescent="0.25">
      <c r="A134" s="3" t="s">
        <v>23</v>
      </c>
      <c r="B134" s="4">
        <v>993</v>
      </c>
      <c r="C134" s="5">
        <v>43281</v>
      </c>
      <c r="D134" s="4" t="s">
        <v>79</v>
      </c>
      <c r="E134" s="5">
        <v>43252</v>
      </c>
      <c r="F134" s="5">
        <v>43281</v>
      </c>
      <c r="G134" s="5">
        <v>43285</v>
      </c>
      <c r="H134" s="4" t="s">
        <v>12</v>
      </c>
      <c r="I134" s="6">
        <v>2637.27</v>
      </c>
      <c r="J134" s="4">
        <v>475.07</v>
      </c>
      <c r="K134" s="6">
        <v>2162.1999999999998</v>
      </c>
      <c r="L134" s="4">
        <v>-4</v>
      </c>
      <c r="M134" s="6">
        <f>+L134*K134</f>
        <v>-8648.7999999999993</v>
      </c>
      <c r="N134" s="8">
        <v>43255</v>
      </c>
      <c r="O134" s="4">
        <f>+G134-E134</f>
        <v>33</v>
      </c>
      <c r="P134" s="4">
        <f>+N134-G134</f>
        <v>-30</v>
      </c>
    </row>
    <row r="135" spans="1:16" s="7" customFormat="1" ht="30" x14ac:dyDescent="0.25">
      <c r="A135" s="3" t="s">
        <v>31</v>
      </c>
      <c r="B135" s="4">
        <v>782</v>
      </c>
      <c r="C135" s="5">
        <v>43267</v>
      </c>
      <c r="D135" s="4" t="str">
        <f>"8018097802"</f>
        <v>8018097802</v>
      </c>
      <c r="E135" s="5">
        <v>43241</v>
      </c>
      <c r="F135" s="5">
        <v>43267</v>
      </c>
      <c r="G135" s="5">
        <v>43271</v>
      </c>
      <c r="H135" s="4" t="s">
        <v>15</v>
      </c>
      <c r="I135" s="4">
        <v>10.07</v>
      </c>
      <c r="J135" s="4">
        <v>10.07</v>
      </c>
      <c r="K135" s="4">
        <v>0</v>
      </c>
      <c r="L135" s="4">
        <v>-4</v>
      </c>
      <c r="M135" s="6">
        <f>+L135*K135</f>
        <v>0</v>
      </c>
      <c r="O135" s="4">
        <f>+G135-E135</f>
        <v>30</v>
      </c>
      <c r="P135" s="4">
        <f>+N135-G135</f>
        <v>-43271</v>
      </c>
    </row>
    <row r="136" spans="1:16" s="7" customFormat="1" x14ac:dyDescent="0.25">
      <c r="A136" s="3" t="s">
        <v>11</v>
      </c>
      <c r="B136" s="4">
        <v>763</v>
      </c>
      <c r="C136" s="5">
        <v>43258</v>
      </c>
      <c r="D136" s="4" t="str">
        <f>"0350120160800706400"</f>
        <v>0350120160800706400</v>
      </c>
      <c r="E136" s="5">
        <v>42660</v>
      </c>
      <c r="F136" s="5">
        <v>43260</v>
      </c>
      <c r="G136" s="5">
        <f>+N136+30</f>
        <v>43265</v>
      </c>
      <c r="H136" s="4" t="s">
        <v>12</v>
      </c>
      <c r="I136" s="4">
        <v>663.2</v>
      </c>
      <c r="J136" s="4">
        <v>60.29</v>
      </c>
      <c r="K136" s="4">
        <v>602.91</v>
      </c>
      <c r="L136" s="4">
        <v>-5</v>
      </c>
      <c r="M136" s="6">
        <f>+L136*K136</f>
        <v>-3014.5499999999997</v>
      </c>
      <c r="N136" s="8">
        <v>43235</v>
      </c>
      <c r="O136" s="4">
        <f>+G136-E136</f>
        <v>605</v>
      </c>
      <c r="P136" s="4"/>
    </row>
    <row r="137" spans="1:16" s="7" customFormat="1" x14ac:dyDescent="0.25">
      <c r="A137" s="3" t="s">
        <v>42</v>
      </c>
      <c r="B137" s="4">
        <v>799</v>
      </c>
      <c r="C137" s="5">
        <v>43267</v>
      </c>
      <c r="D137" s="4" t="str">
        <f>"41801733393"</f>
        <v>41801733393</v>
      </c>
      <c r="E137" s="5">
        <v>43242</v>
      </c>
      <c r="F137" s="5">
        <v>43267</v>
      </c>
      <c r="G137" s="5">
        <v>43273</v>
      </c>
      <c r="H137" s="4" t="s">
        <v>12</v>
      </c>
      <c r="I137" s="4">
        <v>140.24</v>
      </c>
      <c r="J137" s="4">
        <v>25.29</v>
      </c>
      <c r="K137" s="4">
        <v>114.95</v>
      </c>
      <c r="L137" s="4">
        <v>-6</v>
      </c>
      <c r="M137" s="6">
        <f>+L137*K137</f>
        <v>-689.7</v>
      </c>
      <c r="N137" s="8">
        <v>43243</v>
      </c>
      <c r="O137" s="4">
        <f>+G137-E137</f>
        <v>31</v>
      </c>
      <c r="P137" s="4">
        <f>+N137-G137</f>
        <v>-30</v>
      </c>
    </row>
    <row r="138" spans="1:16" s="7" customFormat="1" x14ac:dyDescent="0.25">
      <c r="A138" s="3" t="s">
        <v>56</v>
      </c>
      <c r="B138" s="4">
        <v>985</v>
      </c>
      <c r="C138" s="5">
        <v>43281</v>
      </c>
      <c r="D138" s="4" t="s">
        <v>114</v>
      </c>
      <c r="E138" s="5">
        <v>43251</v>
      </c>
      <c r="F138" s="5">
        <v>43281</v>
      </c>
      <c r="G138" s="5">
        <v>43288</v>
      </c>
      <c r="H138" s="4" t="s">
        <v>12</v>
      </c>
      <c r="I138" s="6">
        <v>1001</v>
      </c>
      <c r="J138" s="4">
        <v>0</v>
      </c>
      <c r="K138" s="6">
        <v>1001</v>
      </c>
      <c r="L138" s="4">
        <v>-7</v>
      </c>
      <c r="M138" s="6">
        <f>+L138*K138</f>
        <v>-7007</v>
      </c>
      <c r="O138" s="4">
        <f>+G138-E138</f>
        <v>37</v>
      </c>
      <c r="P138" s="4">
        <f>+N138-G138</f>
        <v>-43288</v>
      </c>
    </row>
    <row r="139" spans="1:16" s="7" customFormat="1" ht="30" x14ac:dyDescent="0.25">
      <c r="A139" s="3" t="s">
        <v>31</v>
      </c>
      <c r="B139" s="4">
        <v>1004</v>
      </c>
      <c r="C139" s="5">
        <v>43281</v>
      </c>
      <c r="D139" s="4" t="str">
        <f>"8018108761"</f>
        <v>8018108761</v>
      </c>
      <c r="E139" s="5">
        <v>43259</v>
      </c>
      <c r="F139" s="5">
        <v>43281</v>
      </c>
      <c r="G139" s="5">
        <v>43289</v>
      </c>
      <c r="H139" s="4" t="s">
        <v>15</v>
      </c>
      <c r="I139" s="4">
        <v>454.99</v>
      </c>
      <c r="J139" s="4">
        <v>0</v>
      </c>
      <c r="K139" s="4">
        <v>454.99</v>
      </c>
      <c r="L139" s="4">
        <v>-8</v>
      </c>
      <c r="M139" s="6">
        <f>+L139*K139</f>
        <v>-3639.92</v>
      </c>
      <c r="O139" s="4">
        <f>+G139-E139</f>
        <v>30</v>
      </c>
      <c r="P139" s="4">
        <f>+N139-G139</f>
        <v>-43289</v>
      </c>
    </row>
    <row r="140" spans="1:16" s="7" customFormat="1" x14ac:dyDescent="0.25">
      <c r="A140" s="3" t="s">
        <v>115</v>
      </c>
      <c r="B140" s="4">
        <v>455</v>
      </c>
      <c r="C140" s="5">
        <v>43197</v>
      </c>
      <c r="D140" s="4" t="s">
        <v>45</v>
      </c>
      <c r="E140" s="5">
        <v>43175</v>
      </c>
      <c r="F140" s="5">
        <v>43197</v>
      </c>
      <c r="G140" s="5">
        <v>43205</v>
      </c>
      <c r="H140" s="4" t="s">
        <v>15</v>
      </c>
      <c r="I140" s="4">
        <v>378.2</v>
      </c>
      <c r="J140" s="4">
        <v>68.2</v>
      </c>
      <c r="K140" s="4">
        <v>310</v>
      </c>
      <c r="L140" s="4">
        <v>-8</v>
      </c>
      <c r="M140" s="6">
        <f>+L140*K140</f>
        <v>-2480</v>
      </c>
      <c r="O140" s="4">
        <f>+G140-E140</f>
        <v>30</v>
      </c>
      <c r="P140" s="4">
        <f>+N140-G140</f>
        <v>-43205</v>
      </c>
    </row>
    <row r="141" spans="1:16" s="7" customFormat="1" x14ac:dyDescent="0.25">
      <c r="A141" s="3" t="s">
        <v>116</v>
      </c>
      <c r="B141" s="4">
        <v>755</v>
      </c>
      <c r="C141" s="5">
        <v>43257</v>
      </c>
      <c r="D141" s="4" t="str">
        <f>"7"</f>
        <v>7</v>
      </c>
      <c r="E141" s="5">
        <v>43235</v>
      </c>
      <c r="F141" s="5">
        <v>43257</v>
      </c>
      <c r="G141" s="5">
        <v>43265</v>
      </c>
      <c r="H141" s="4" t="s">
        <v>15</v>
      </c>
      <c r="I141" s="6">
        <v>30709.360000000001</v>
      </c>
      <c r="J141" s="4">
        <v>0</v>
      </c>
      <c r="K141" s="6">
        <v>30709.360000000001</v>
      </c>
      <c r="L141" s="4">
        <v>-8</v>
      </c>
      <c r="M141" s="6">
        <f>+L141*K141</f>
        <v>-245674.88</v>
      </c>
      <c r="O141" s="4">
        <f>+G141-E141</f>
        <v>30</v>
      </c>
      <c r="P141" s="4">
        <f>+N141-G141</f>
        <v>-43265</v>
      </c>
    </row>
    <row r="142" spans="1:16" s="7" customFormat="1" x14ac:dyDescent="0.25">
      <c r="A142" s="3" t="s">
        <v>37</v>
      </c>
      <c r="B142" s="4">
        <v>522</v>
      </c>
      <c r="C142" s="5">
        <v>43211</v>
      </c>
      <c r="D142" s="4" t="str">
        <f>"18045"</f>
        <v>18045</v>
      </c>
      <c r="E142" s="5">
        <v>43190</v>
      </c>
      <c r="F142" s="5">
        <v>43211</v>
      </c>
      <c r="G142" s="5">
        <v>43220</v>
      </c>
      <c r="H142" s="4" t="s">
        <v>12</v>
      </c>
      <c r="I142" s="6">
        <v>4182.53</v>
      </c>
      <c r="J142" s="4">
        <v>754.23</v>
      </c>
      <c r="K142" s="6">
        <v>3428.3</v>
      </c>
      <c r="L142" s="4">
        <v>-9</v>
      </c>
      <c r="M142" s="6">
        <f>+L142*K142</f>
        <v>-30854.7</v>
      </c>
      <c r="O142" s="4">
        <f>+G142-E142</f>
        <v>30</v>
      </c>
      <c r="P142" s="4">
        <f>+N142-G142</f>
        <v>-43220</v>
      </c>
    </row>
    <row r="143" spans="1:16" s="7" customFormat="1" x14ac:dyDescent="0.25">
      <c r="A143" s="3" t="s">
        <v>92</v>
      </c>
      <c r="B143" s="4">
        <v>527</v>
      </c>
      <c r="C143" s="5">
        <v>43211</v>
      </c>
      <c r="D143" s="4" t="str">
        <f>"0001109085"</f>
        <v>0001109085</v>
      </c>
      <c r="E143" s="5">
        <v>43190</v>
      </c>
      <c r="F143" s="5">
        <v>43211</v>
      </c>
      <c r="G143" s="5">
        <v>43220</v>
      </c>
      <c r="H143" s="4" t="s">
        <v>12</v>
      </c>
      <c r="I143" s="4">
        <v>595.1</v>
      </c>
      <c r="J143" s="4">
        <v>0</v>
      </c>
      <c r="K143" s="4">
        <v>595.1</v>
      </c>
      <c r="L143" s="4">
        <v>-9</v>
      </c>
      <c r="M143" s="6">
        <f>+L143*K143</f>
        <v>-5355.9000000000005</v>
      </c>
      <c r="O143" s="4">
        <f>+G143-E143</f>
        <v>30</v>
      </c>
      <c r="P143" s="4">
        <f>+N143-G143</f>
        <v>-43220</v>
      </c>
    </row>
    <row r="144" spans="1:16" s="7" customFormat="1" x14ac:dyDescent="0.25">
      <c r="A144" s="3" t="s">
        <v>92</v>
      </c>
      <c r="B144" s="4">
        <v>527</v>
      </c>
      <c r="C144" s="5">
        <v>43211</v>
      </c>
      <c r="D144" s="4" t="str">
        <f>"0001109445"</f>
        <v>0001109445</v>
      </c>
      <c r="E144" s="5">
        <v>43190</v>
      </c>
      <c r="F144" s="5">
        <v>43211</v>
      </c>
      <c r="G144" s="5">
        <v>43220</v>
      </c>
      <c r="H144" s="4" t="s">
        <v>12</v>
      </c>
      <c r="I144" s="6">
        <v>4508.3999999999996</v>
      </c>
      <c r="J144" s="4">
        <v>0</v>
      </c>
      <c r="K144" s="6">
        <v>4508.3999999999996</v>
      </c>
      <c r="L144" s="4">
        <v>-9</v>
      </c>
      <c r="M144" s="6">
        <f>+L144*K144</f>
        <v>-40575.599999999999</v>
      </c>
      <c r="O144" s="4">
        <f>+G144-E144</f>
        <v>30</v>
      </c>
      <c r="P144" s="4">
        <f>+N144-G144</f>
        <v>-43220</v>
      </c>
    </row>
    <row r="145" spans="1:16" s="7" customFormat="1" x14ac:dyDescent="0.25">
      <c r="A145" s="3" t="s">
        <v>88</v>
      </c>
      <c r="B145" s="4">
        <v>704</v>
      </c>
      <c r="C145" s="5">
        <v>43250</v>
      </c>
      <c r="D145" s="4" t="s">
        <v>117</v>
      </c>
      <c r="E145" s="5">
        <v>43230</v>
      </c>
      <c r="F145" s="5">
        <v>43251</v>
      </c>
      <c r="G145" s="5">
        <v>43260</v>
      </c>
      <c r="H145" s="4" t="s">
        <v>15</v>
      </c>
      <c r="I145" s="6">
        <v>18451.490000000002</v>
      </c>
      <c r="J145" s="6">
        <v>3327.32</v>
      </c>
      <c r="K145" s="6">
        <v>15124.17</v>
      </c>
      <c r="L145" s="4">
        <v>-9</v>
      </c>
      <c r="M145" s="6">
        <f>+L145*K145</f>
        <v>-136117.53</v>
      </c>
      <c r="O145" s="4">
        <f>+G145-E145</f>
        <v>30</v>
      </c>
      <c r="P145" s="4">
        <f>+N145-G145</f>
        <v>-43260</v>
      </c>
    </row>
    <row r="146" spans="1:16" s="7" customFormat="1" x14ac:dyDescent="0.25">
      <c r="A146" s="3" t="s">
        <v>11</v>
      </c>
      <c r="B146" s="4">
        <v>798</v>
      </c>
      <c r="C146" s="5">
        <v>43267</v>
      </c>
      <c r="D146" s="4" t="str">
        <f>"0350120180800360800"</f>
        <v>0350120180800360800</v>
      </c>
      <c r="E146" s="5">
        <v>43243</v>
      </c>
      <c r="F146" s="5">
        <v>43267</v>
      </c>
      <c r="G146" s="5">
        <v>43276</v>
      </c>
      <c r="H146" s="4" t="s">
        <v>12</v>
      </c>
      <c r="I146" s="4">
        <v>845.15</v>
      </c>
      <c r="J146" s="4">
        <v>65.91</v>
      </c>
      <c r="K146" s="4">
        <v>779.24</v>
      </c>
      <c r="L146" s="4">
        <v>-9</v>
      </c>
      <c r="M146" s="6">
        <f>+L146*K146</f>
        <v>-7013.16</v>
      </c>
      <c r="O146" s="4">
        <f>+G146-E146</f>
        <v>33</v>
      </c>
      <c r="P146" s="4">
        <f>+N146-G146</f>
        <v>-43276</v>
      </c>
    </row>
    <row r="147" spans="1:16" s="7" customFormat="1" x14ac:dyDescent="0.25">
      <c r="A147" s="3" t="s">
        <v>118</v>
      </c>
      <c r="B147" s="4">
        <v>500</v>
      </c>
      <c r="C147" s="5">
        <v>43211</v>
      </c>
      <c r="D147" s="4" t="s">
        <v>119</v>
      </c>
      <c r="E147" s="5">
        <v>43174</v>
      </c>
      <c r="F147" s="5">
        <v>43211</v>
      </c>
      <c r="G147" s="5">
        <v>43220</v>
      </c>
      <c r="H147" s="4" t="s">
        <v>12</v>
      </c>
      <c r="I147" s="6">
        <v>6301.3</v>
      </c>
      <c r="J147" s="6">
        <v>1136.3</v>
      </c>
      <c r="K147" s="6">
        <v>5165</v>
      </c>
      <c r="L147" s="4">
        <v>-9</v>
      </c>
      <c r="M147" s="6">
        <f>+L147*K147</f>
        <v>-46485</v>
      </c>
      <c r="O147" s="4">
        <f>+G147-E147</f>
        <v>46</v>
      </c>
      <c r="P147" s="4">
        <f>+N147-G147</f>
        <v>-43220</v>
      </c>
    </row>
    <row r="148" spans="1:16" s="7" customFormat="1" x14ac:dyDescent="0.25">
      <c r="A148" s="3" t="s">
        <v>118</v>
      </c>
      <c r="B148" s="4">
        <v>499</v>
      </c>
      <c r="C148" s="5">
        <v>43211</v>
      </c>
      <c r="D148" s="4" t="s">
        <v>120</v>
      </c>
      <c r="E148" s="5">
        <v>43175</v>
      </c>
      <c r="F148" s="5">
        <v>43211</v>
      </c>
      <c r="G148" s="5">
        <v>43220</v>
      </c>
      <c r="H148" s="4" t="s">
        <v>12</v>
      </c>
      <c r="I148" s="6">
        <v>2257</v>
      </c>
      <c r="J148" s="4">
        <v>407</v>
      </c>
      <c r="K148" s="6">
        <v>1850</v>
      </c>
      <c r="L148" s="4">
        <v>-9</v>
      </c>
      <c r="M148" s="6">
        <f>+L148*K148</f>
        <v>-16650</v>
      </c>
      <c r="O148" s="4">
        <f>+G148-E148</f>
        <v>45</v>
      </c>
      <c r="P148" s="4">
        <f>+N148-G148</f>
        <v>-43220</v>
      </c>
    </row>
    <row r="149" spans="1:16" s="7" customFormat="1" x14ac:dyDescent="0.25">
      <c r="A149" s="3" t="s">
        <v>13</v>
      </c>
      <c r="B149" s="4">
        <v>459</v>
      </c>
      <c r="C149" s="5">
        <v>43197</v>
      </c>
      <c r="D149" s="4" t="s">
        <v>14</v>
      </c>
      <c r="E149" s="5">
        <v>42549</v>
      </c>
      <c r="F149" s="5">
        <v>43197</v>
      </c>
      <c r="G149" s="5">
        <f>+N149+30</f>
        <v>43209</v>
      </c>
      <c r="H149" s="4" t="s">
        <v>15</v>
      </c>
      <c r="I149" s="6">
        <v>2091</v>
      </c>
      <c r="J149" s="4">
        <v>0</v>
      </c>
      <c r="K149" s="6">
        <v>2091</v>
      </c>
      <c r="L149" s="4">
        <v>-12</v>
      </c>
      <c r="M149" s="6">
        <f>+L149*K149</f>
        <v>-25092</v>
      </c>
      <c r="N149" s="8">
        <v>43179</v>
      </c>
      <c r="O149" s="4">
        <f>+G149-E149</f>
        <v>660</v>
      </c>
      <c r="P149" s="4"/>
    </row>
    <row r="150" spans="1:16" s="7" customFormat="1" x14ac:dyDescent="0.25">
      <c r="A150" s="3" t="s">
        <v>23</v>
      </c>
      <c r="B150" s="4">
        <v>509</v>
      </c>
      <c r="C150" s="5">
        <v>43211</v>
      </c>
      <c r="D150" s="4" t="s">
        <v>104</v>
      </c>
      <c r="E150" s="5">
        <v>43193</v>
      </c>
      <c r="F150" s="5">
        <v>43211</v>
      </c>
      <c r="G150" s="5">
        <v>43223</v>
      </c>
      <c r="H150" s="4" t="s">
        <v>12</v>
      </c>
      <c r="I150" s="6">
        <v>3962.36</v>
      </c>
      <c r="J150" s="4">
        <v>714.52</v>
      </c>
      <c r="K150" s="6">
        <v>3247.84</v>
      </c>
      <c r="L150" s="4">
        <v>-12</v>
      </c>
      <c r="M150" s="6">
        <f>+L150*K150</f>
        <v>-38974.080000000002</v>
      </c>
      <c r="N150" s="8">
        <v>43193</v>
      </c>
      <c r="O150" s="4">
        <f>+G150-E150</f>
        <v>30</v>
      </c>
      <c r="P150" s="4">
        <f>+N150-G150</f>
        <v>-30</v>
      </c>
    </row>
    <row r="151" spans="1:16" s="7" customFormat="1" x14ac:dyDescent="0.25">
      <c r="A151" s="3" t="s">
        <v>23</v>
      </c>
      <c r="B151" s="4">
        <v>511</v>
      </c>
      <c r="C151" s="5">
        <v>43211</v>
      </c>
      <c r="D151" s="4" t="s">
        <v>105</v>
      </c>
      <c r="E151" s="5">
        <v>43193</v>
      </c>
      <c r="F151" s="5">
        <v>43211</v>
      </c>
      <c r="G151" s="5">
        <v>43223</v>
      </c>
      <c r="H151" s="4" t="s">
        <v>12</v>
      </c>
      <c r="I151" s="4">
        <v>551.71</v>
      </c>
      <c r="J151" s="4">
        <v>99.49</v>
      </c>
      <c r="K151" s="4">
        <v>452.22</v>
      </c>
      <c r="L151" s="4">
        <v>-12</v>
      </c>
      <c r="M151" s="6">
        <f>+L151*K151</f>
        <v>-5426.64</v>
      </c>
      <c r="N151" s="8">
        <v>43193</v>
      </c>
      <c r="O151" s="4">
        <f>+G151-E151</f>
        <v>30</v>
      </c>
      <c r="P151" s="4">
        <f>+N151-G151</f>
        <v>-30</v>
      </c>
    </row>
    <row r="152" spans="1:16" s="7" customFormat="1" x14ac:dyDescent="0.25">
      <c r="A152" s="3" t="s">
        <v>23</v>
      </c>
      <c r="B152" s="4">
        <v>512</v>
      </c>
      <c r="C152" s="5">
        <v>43211</v>
      </c>
      <c r="D152" s="4" t="s">
        <v>106</v>
      </c>
      <c r="E152" s="5">
        <v>43193</v>
      </c>
      <c r="F152" s="5">
        <v>43211</v>
      </c>
      <c r="G152" s="5">
        <v>43223</v>
      </c>
      <c r="H152" s="4" t="s">
        <v>12</v>
      </c>
      <c r="I152" s="4">
        <v>933.69</v>
      </c>
      <c r="J152" s="4">
        <v>168.37</v>
      </c>
      <c r="K152" s="4">
        <v>765.32</v>
      </c>
      <c r="L152" s="4">
        <v>-12</v>
      </c>
      <c r="M152" s="6">
        <f>+L152*K152</f>
        <v>-9183.84</v>
      </c>
      <c r="N152" s="8">
        <v>43193</v>
      </c>
      <c r="O152" s="4">
        <f>+G152-E152</f>
        <v>30</v>
      </c>
      <c r="P152" s="4">
        <f>+N152-G152</f>
        <v>-30</v>
      </c>
    </row>
    <row r="153" spans="1:16" s="7" customFormat="1" x14ac:dyDescent="0.25">
      <c r="A153" s="3" t="s">
        <v>23</v>
      </c>
      <c r="B153" s="4">
        <v>513</v>
      </c>
      <c r="C153" s="5">
        <v>43211</v>
      </c>
      <c r="D153" s="4" t="s">
        <v>107</v>
      </c>
      <c r="E153" s="5">
        <v>43193</v>
      </c>
      <c r="F153" s="5">
        <v>43211</v>
      </c>
      <c r="G153" s="5">
        <v>43223</v>
      </c>
      <c r="H153" s="4" t="s">
        <v>12</v>
      </c>
      <c r="I153" s="4">
        <v>325.37</v>
      </c>
      <c r="J153" s="4">
        <v>58.67</v>
      </c>
      <c r="K153" s="4">
        <v>266.7</v>
      </c>
      <c r="L153" s="4">
        <v>-12</v>
      </c>
      <c r="M153" s="6">
        <f>+L153*K153</f>
        <v>-3200.3999999999996</v>
      </c>
      <c r="N153" s="8">
        <v>43193</v>
      </c>
      <c r="O153" s="4">
        <f>+G153-E153</f>
        <v>30</v>
      </c>
      <c r="P153" s="4">
        <f>+N153-G153</f>
        <v>-30</v>
      </c>
    </row>
    <row r="154" spans="1:16" s="7" customFormat="1" x14ac:dyDescent="0.25">
      <c r="A154" s="3" t="s">
        <v>23</v>
      </c>
      <c r="B154" s="4">
        <v>507</v>
      </c>
      <c r="C154" s="5">
        <v>43211</v>
      </c>
      <c r="D154" s="4" t="s">
        <v>108</v>
      </c>
      <c r="E154" s="5">
        <v>43193</v>
      </c>
      <c r="F154" s="5">
        <v>43211</v>
      </c>
      <c r="G154" s="5">
        <v>43223</v>
      </c>
      <c r="H154" s="4" t="s">
        <v>12</v>
      </c>
      <c r="I154" s="4">
        <v>764.78</v>
      </c>
      <c r="J154" s="4">
        <v>137.91</v>
      </c>
      <c r="K154" s="4">
        <v>626.87</v>
      </c>
      <c r="L154" s="4">
        <v>-12</v>
      </c>
      <c r="M154" s="6">
        <f>+L154*K154</f>
        <v>-7522.4400000000005</v>
      </c>
      <c r="N154" s="8">
        <v>43193</v>
      </c>
      <c r="O154" s="4">
        <f>+G154-E154</f>
        <v>30</v>
      </c>
      <c r="P154" s="4">
        <f>+N154-G154</f>
        <v>-30</v>
      </c>
    </row>
    <row r="155" spans="1:16" s="7" customFormat="1" x14ac:dyDescent="0.25">
      <c r="A155" s="3" t="s">
        <v>23</v>
      </c>
      <c r="B155" s="4">
        <v>508</v>
      </c>
      <c r="C155" s="5">
        <v>43211</v>
      </c>
      <c r="D155" s="4" t="s">
        <v>109</v>
      </c>
      <c r="E155" s="5">
        <v>43193</v>
      </c>
      <c r="F155" s="5">
        <v>43211</v>
      </c>
      <c r="G155" s="5">
        <v>43223</v>
      </c>
      <c r="H155" s="4" t="s">
        <v>12</v>
      </c>
      <c r="I155" s="4">
        <v>843.89</v>
      </c>
      <c r="J155" s="4">
        <v>152.18</v>
      </c>
      <c r="K155" s="4">
        <v>691.71</v>
      </c>
      <c r="L155" s="4">
        <v>-12</v>
      </c>
      <c r="M155" s="6">
        <f>+L155*K155</f>
        <v>-8300.52</v>
      </c>
      <c r="N155" s="8">
        <v>43193</v>
      </c>
      <c r="O155" s="4">
        <f>+G155-E155</f>
        <v>30</v>
      </c>
      <c r="P155" s="4">
        <f>+N155-G155</f>
        <v>-30</v>
      </c>
    </row>
    <row r="156" spans="1:16" s="7" customFormat="1" x14ac:dyDescent="0.25">
      <c r="A156" s="3" t="s">
        <v>23</v>
      </c>
      <c r="B156" s="4">
        <v>515</v>
      </c>
      <c r="C156" s="5">
        <v>43211</v>
      </c>
      <c r="D156" s="4" t="s">
        <v>110</v>
      </c>
      <c r="E156" s="5">
        <v>43193</v>
      </c>
      <c r="F156" s="5">
        <v>43211</v>
      </c>
      <c r="G156" s="5">
        <v>43223</v>
      </c>
      <c r="H156" s="4" t="s">
        <v>12</v>
      </c>
      <c r="I156" s="4">
        <v>413.8</v>
      </c>
      <c r="J156" s="4">
        <v>74.62</v>
      </c>
      <c r="K156" s="4">
        <v>339.18</v>
      </c>
      <c r="L156" s="4">
        <v>-12</v>
      </c>
      <c r="M156" s="6">
        <f>+L156*K156</f>
        <v>-4070.16</v>
      </c>
      <c r="N156" s="8">
        <v>43193</v>
      </c>
      <c r="O156" s="4">
        <f>+G156-E156</f>
        <v>30</v>
      </c>
      <c r="P156" s="4">
        <f>+N156-G156</f>
        <v>-30</v>
      </c>
    </row>
    <row r="157" spans="1:16" s="7" customFormat="1" x14ac:dyDescent="0.25">
      <c r="A157" s="3" t="s">
        <v>23</v>
      </c>
      <c r="B157" s="4">
        <v>516</v>
      </c>
      <c r="C157" s="5">
        <v>43211</v>
      </c>
      <c r="D157" s="4" t="s">
        <v>111</v>
      </c>
      <c r="E157" s="5">
        <v>43193</v>
      </c>
      <c r="F157" s="5">
        <v>43211</v>
      </c>
      <c r="G157" s="5">
        <v>43223</v>
      </c>
      <c r="H157" s="4" t="s">
        <v>12</v>
      </c>
      <c r="I157" s="4">
        <v>472.74</v>
      </c>
      <c r="J157" s="4">
        <v>85.25</v>
      </c>
      <c r="K157" s="4">
        <v>387.49</v>
      </c>
      <c r="L157" s="4">
        <v>-12</v>
      </c>
      <c r="M157" s="6">
        <f>+L157*K157</f>
        <v>-4649.88</v>
      </c>
      <c r="N157" s="8">
        <v>43193</v>
      </c>
      <c r="O157" s="4">
        <f>+G157-E157</f>
        <v>30</v>
      </c>
      <c r="P157" s="4">
        <f>+N157-G157</f>
        <v>-30</v>
      </c>
    </row>
    <row r="158" spans="1:16" s="7" customFormat="1" x14ac:dyDescent="0.25">
      <c r="A158" s="3" t="s">
        <v>23</v>
      </c>
      <c r="B158" s="4">
        <v>514</v>
      </c>
      <c r="C158" s="5">
        <v>43211</v>
      </c>
      <c r="D158" s="4" t="s">
        <v>112</v>
      </c>
      <c r="E158" s="5">
        <v>43193</v>
      </c>
      <c r="F158" s="5">
        <v>43211</v>
      </c>
      <c r="G158" s="5">
        <v>43223</v>
      </c>
      <c r="H158" s="4" t="s">
        <v>12</v>
      </c>
      <c r="I158" s="4">
        <v>197.19</v>
      </c>
      <c r="J158" s="4">
        <v>35.56</v>
      </c>
      <c r="K158" s="4">
        <v>161.63</v>
      </c>
      <c r="L158" s="4">
        <v>-12</v>
      </c>
      <c r="M158" s="6">
        <f>+L158*K158</f>
        <v>-1939.56</v>
      </c>
      <c r="N158" s="8">
        <v>43193</v>
      </c>
      <c r="O158" s="4">
        <f>+G158-E158</f>
        <v>30</v>
      </c>
      <c r="P158" s="4">
        <f>+N158-G158</f>
        <v>-30</v>
      </c>
    </row>
    <row r="159" spans="1:16" s="7" customFormat="1" x14ac:dyDescent="0.25">
      <c r="A159" s="3" t="s">
        <v>23</v>
      </c>
      <c r="B159" s="4">
        <v>510</v>
      </c>
      <c r="C159" s="5">
        <v>43211</v>
      </c>
      <c r="D159" s="4" t="s">
        <v>113</v>
      </c>
      <c r="E159" s="5">
        <v>43193</v>
      </c>
      <c r="F159" s="5">
        <v>43211</v>
      </c>
      <c r="G159" s="5">
        <v>43223</v>
      </c>
      <c r="H159" s="4" t="s">
        <v>12</v>
      </c>
      <c r="I159" s="4">
        <v>352.59</v>
      </c>
      <c r="J159" s="4">
        <v>63.58</v>
      </c>
      <c r="K159" s="4">
        <v>289.01</v>
      </c>
      <c r="L159" s="4">
        <v>-12</v>
      </c>
      <c r="M159" s="6">
        <f>+L159*K159</f>
        <v>-3468.12</v>
      </c>
      <c r="N159" s="8">
        <v>43193</v>
      </c>
      <c r="O159" s="4">
        <f>+G159-E159</f>
        <v>30</v>
      </c>
      <c r="P159" s="4">
        <f>+N159-G159</f>
        <v>-30</v>
      </c>
    </row>
    <row r="160" spans="1:16" s="7" customFormat="1" x14ac:dyDescent="0.25">
      <c r="A160" s="3" t="s">
        <v>33</v>
      </c>
      <c r="B160" s="4">
        <v>702</v>
      </c>
      <c r="C160" s="5">
        <v>43250</v>
      </c>
      <c r="D160" s="4" t="s">
        <v>121</v>
      </c>
      <c r="E160" s="5">
        <v>43190</v>
      </c>
      <c r="F160" s="5">
        <v>43251</v>
      </c>
      <c r="G160" s="5">
        <v>43263</v>
      </c>
      <c r="H160" s="4" t="s">
        <v>12</v>
      </c>
      <c r="I160" s="6">
        <v>14465.01</v>
      </c>
      <c r="J160" s="4">
        <v>556.35</v>
      </c>
      <c r="K160" s="6">
        <v>13908.66</v>
      </c>
      <c r="L160" s="4">
        <v>-12</v>
      </c>
      <c r="M160" s="6">
        <f>+L160*K160</f>
        <v>-166903.91999999998</v>
      </c>
      <c r="O160" s="4">
        <f>+G160-E160</f>
        <v>73</v>
      </c>
      <c r="P160" s="4">
        <f>+N160-G160</f>
        <v>-43263</v>
      </c>
    </row>
    <row r="161" spans="1:16" s="7" customFormat="1" x14ac:dyDescent="0.25">
      <c r="A161" s="3" t="s">
        <v>33</v>
      </c>
      <c r="B161" s="4">
        <v>695</v>
      </c>
      <c r="C161" s="5">
        <v>43250</v>
      </c>
      <c r="D161" s="4" t="s">
        <v>122</v>
      </c>
      <c r="E161" s="5">
        <v>43190</v>
      </c>
      <c r="F161" s="5">
        <v>43251</v>
      </c>
      <c r="G161" s="5">
        <v>43263</v>
      </c>
      <c r="H161" s="4" t="s">
        <v>12</v>
      </c>
      <c r="I161" s="4">
        <v>839.4</v>
      </c>
      <c r="J161" s="4">
        <v>32.28</v>
      </c>
      <c r="K161" s="4">
        <v>807.12</v>
      </c>
      <c r="L161" s="4">
        <v>-12</v>
      </c>
      <c r="M161" s="6">
        <f>+L161*K161</f>
        <v>-9685.44</v>
      </c>
      <c r="O161" s="4">
        <f>+G161-E161</f>
        <v>73</v>
      </c>
      <c r="P161" s="4">
        <f>+N161-G161</f>
        <v>-43263</v>
      </c>
    </row>
    <row r="162" spans="1:16" s="7" customFormat="1" x14ac:dyDescent="0.25">
      <c r="A162" s="3" t="s">
        <v>29</v>
      </c>
      <c r="B162" s="4">
        <v>981</v>
      </c>
      <c r="C162" s="5">
        <v>43281</v>
      </c>
      <c r="D162" s="4" t="s">
        <v>55</v>
      </c>
      <c r="E162" s="5">
        <v>43264</v>
      </c>
      <c r="F162" s="5">
        <v>43281</v>
      </c>
      <c r="G162" s="5">
        <v>43295</v>
      </c>
      <c r="H162" s="4" t="s">
        <v>12</v>
      </c>
      <c r="I162" s="4">
        <v>730.17</v>
      </c>
      <c r="J162" s="4">
        <v>131.66999999999999</v>
      </c>
      <c r="K162" s="4">
        <v>598.5</v>
      </c>
      <c r="L162" s="4">
        <v>-14</v>
      </c>
      <c r="M162" s="6">
        <f>+L162*K162</f>
        <v>-8379</v>
      </c>
      <c r="N162" s="8">
        <v>43265</v>
      </c>
      <c r="O162" s="4">
        <f>+G162-E162</f>
        <v>31</v>
      </c>
      <c r="P162" s="4">
        <f>+N162-G162</f>
        <v>-30</v>
      </c>
    </row>
    <row r="163" spans="1:16" s="7" customFormat="1" x14ac:dyDescent="0.25">
      <c r="A163" s="3" t="s">
        <v>123</v>
      </c>
      <c r="B163" s="4">
        <v>1005</v>
      </c>
      <c r="C163" s="5">
        <v>43281</v>
      </c>
      <c r="D163" s="4" t="s">
        <v>124</v>
      </c>
      <c r="E163" s="5">
        <v>43262</v>
      </c>
      <c r="F163" s="5">
        <v>43281</v>
      </c>
      <c r="G163" s="5">
        <v>43295</v>
      </c>
      <c r="H163" s="4" t="s">
        <v>15</v>
      </c>
      <c r="I163" s="4">
        <v>930</v>
      </c>
      <c r="J163" s="4">
        <v>167.7</v>
      </c>
      <c r="K163" s="4">
        <v>762.3</v>
      </c>
      <c r="L163" s="4">
        <v>-14</v>
      </c>
      <c r="M163" s="6">
        <f>+L163*K163</f>
        <v>-10672.199999999999</v>
      </c>
      <c r="O163" s="4">
        <f>+G163-E163</f>
        <v>33</v>
      </c>
      <c r="P163" s="4">
        <f>+N163-G163</f>
        <v>-43295</v>
      </c>
    </row>
    <row r="164" spans="1:16" s="7" customFormat="1" x14ac:dyDescent="0.25">
      <c r="A164" s="3" t="s">
        <v>125</v>
      </c>
      <c r="B164" s="4">
        <v>794</v>
      </c>
      <c r="C164" s="5">
        <v>43267</v>
      </c>
      <c r="D164" s="9" t="s">
        <v>126</v>
      </c>
      <c r="E164" s="5">
        <v>43196</v>
      </c>
      <c r="F164" s="5">
        <v>43267</v>
      </c>
      <c r="G164" s="5">
        <v>43283</v>
      </c>
      <c r="H164" s="4" t="s">
        <v>12</v>
      </c>
      <c r="I164" s="4">
        <v>172.39</v>
      </c>
      <c r="J164" s="4">
        <v>31.09</v>
      </c>
      <c r="K164" s="4">
        <v>141.30000000000001</v>
      </c>
      <c r="L164" s="4">
        <v>-16</v>
      </c>
      <c r="M164" s="6">
        <f>+L164*K164</f>
        <v>-2260.8000000000002</v>
      </c>
      <c r="O164" s="4">
        <f>+G164-E164</f>
        <v>87</v>
      </c>
      <c r="P164" s="4">
        <f>+N164-G164</f>
        <v>-43283</v>
      </c>
    </row>
    <row r="165" spans="1:16" s="7" customFormat="1" x14ac:dyDescent="0.25">
      <c r="A165" s="3" t="s">
        <v>125</v>
      </c>
      <c r="B165" s="4">
        <v>794</v>
      </c>
      <c r="C165" s="5">
        <v>43267</v>
      </c>
      <c r="D165" s="9" t="s">
        <v>127</v>
      </c>
      <c r="E165" s="5">
        <v>43196</v>
      </c>
      <c r="F165" s="5">
        <v>43267</v>
      </c>
      <c r="G165" s="5">
        <v>43283</v>
      </c>
      <c r="H165" s="4" t="s">
        <v>12</v>
      </c>
      <c r="I165" s="4">
        <v>98.37</v>
      </c>
      <c r="J165" s="4">
        <v>17.739999999999998</v>
      </c>
      <c r="K165" s="4">
        <v>80.63</v>
      </c>
      <c r="L165" s="4">
        <v>-16</v>
      </c>
      <c r="M165" s="6">
        <f>+L165*K165</f>
        <v>-1290.08</v>
      </c>
      <c r="O165" s="4">
        <f>+G165-E165</f>
        <v>87</v>
      </c>
      <c r="P165" s="4">
        <f>+N165-G165</f>
        <v>-43283</v>
      </c>
    </row>
    <row r="166" spans="1:16" s="7" customFormat="1" x14ac:dyDescent="0.25">
      <c r="A166" s="3" t="s">
        <v>125</v>
      </c>
      <c r="B166" s="4">
        <v>797</v>
      </c>
      <c r="C166" s="5">
        <v>43267</v>
      </c>
      <c r="D166" s="9" t="s">
        <v>128</v>
      </c>
      <c r="E166" s="5">
        <v>43196</v>
      </c>
      <c r="F166" s="5">
        <v>43267</v>
      </c>
      <c r="G166" s="5">
        <v>43283</v>
      </c>
      <c r="H166" s="4" t="s">
        <v>12</v>
      </c>
      <c r="I166" s="4">
        <v>332.05</v>
      </c>
      <c r="J166" s="4">
        <v>59.88</v>
      </c>
      <c r="K166" s="4">
        <v>272.17</v>
      </c>
      <c r="L166" s="4">
        <v>-16</v>
      </c>
      <c r="M166" s="6">
        <f>+L166*K166</f>
        <v>-4354.72</v>
      </c>
      <c r="O166" s="4">
        <f>+G166-E166</f>
        <v>87</v>
      </c>
      <c r="P166" s="4">
        <f>+N166-G166</f>
        <v>-43283</v>
      </c>
    </row>
    <row r="167" spans="1:16" s="7" customFormat="1" x14ac:dyDescent="0.25">
      <c r="A167" s="3" t="s">
        <v>125</v>
      </c>
      <c r="B167" s="4">
        <v>790</v>
      </c>
      <c r="C167" s="5">
        <v>43267</v>
      </c>
      <c r="D167" s="9" t="s">
        <v>129</v>
      </c>
      <c r="E167" s="5">
        <v>43196</v>
      </c>
      <c r="F167" s="5">
        <v>43267</v>
      </c>
      <c r="G167" s="5">
        <v>43283</v>
      </c>
      <c r="H167" s="4" t="s">
        <v>12</v>
      </c>
      <c r="I167" s="4">
        <v>60.61</v>
      </c>
      <c r="J167" s="4">
        <v>10.93</v>
      </c>
      <c r="K167" s="4">
        <v>49.68</v>
      </c>
      <c r="L167" s="4">
        <v>-16</v>
      </c>
      <c r="M167" s="6">
        <f>+L167*K167</f>
        <v>-794.88</v>
      </c>
      <c r="O167" s="4">
        <f>+G167-E167</f>
        <v>87</v>
      </c>
      <c r="P167" s="4">
        <f>+N167-G167</f>
        <v>-43283</v>
      </c>
    </row>
    <row r="168" spans="1:16" s="7" customFormat="1" x14ac:dyDescent="0.25">
      <c r="A168" s="3" t="s">
        <v>125</v>
      </c>
      <c r="B168" s="4">
        <v>797</v>
      </c>
      <c r="C168" s="5">
        <v>43267</v>
      </c>
      <c r="D168" s="9" t="s">
        <v>130</v>
      </c>
      <c r="E168" s="5">
        <v>43196</v>
      </c>
      <c r="F168" s="5">
        <v>43267</v>
      </c>
      <c r="G168" s="5">
        <v>43283</v>
      </c>
      <c r="H168" s="4" t="s">
        <v>12</v>
      </c>
      <c r="I168" s="4">
        <v>48.45</v>
      </c>
      <c r="J168" s="4">
        <v>8.74</v>
      </c>
      <c r="K168" s="4">
        <v>39.71</v>
      </c>
      <c r="L168" s="4">
        <v>-16</v>
      </c>
      <c r="M168" s="6">
        <f>+L168*K168</f>
        <v>-635.36</v>
      </c>
      <c r="O168" s="4">
        <f>+G168-E168</f>
        <v>87</v>
      </c>
      <c r="P168" s="4">
        <f>+N168-G168</f>
        <v>-43283</v>
      </c>
    </row>
    <row r="169" spans="1:16" s="7" customFormat="1" x14ac:dyDescent="0.25">
      <c r="A169" s="3" t="s">
        <v>125</v>
      </c>
      <c r="B169" s="4">
        <v>793</v>
      </c>
      <c r="C169" s="5">
        <v>43267</v>
      </c>
      <c r="D169" s="9" t="s">
        <v>131</v>
      </c>
      <c r="E169" s="5">
        <v>43196</v>
      </c>
      <c r="F169" s="5">
        <v>43267</v>
      </c>
      <c r="G169" s="5">
        <v>43283</v>
      </c>
      <c r="H169" s="4" t="s">
        <v>12</v>
      </c>
      <c r="I169" s="4">
        <v>37.090000000000003</v>
      </c>
      <c r="J169" s="4">
        <v>6.69</v>
      </c>
      <c r="K169" s="4">
        <v>30.4</v>
      </c>
      <c r="L169" s="4">
        <v>-16</v>
      </c>
      <c r="M169" s="6">
        <f>+L169*K169</f>
        <v>-486.4</v>
      </c>
      <c r="O169" s="4">
        <f>+G169-E169</f>
        <v>87</v>
      </c>
      <c r="P169" s="4">
        <f>+N169-G169</f>
        <v>-43283</v>
      </c>
    </row>
    <row r="170" spans="1:16" s="7" customFormat="1" x14ac:dyDescent="0.25">
      <c r="A170" s="3" t="s">
        <v>125</v>
      </c>
      <c r="B170" s="4">
        <v>791</v>
      </c>
      <c r="C170" s="5">
        <v>43267</v>
      </c>
      <c r="D170" s="9" t="s">
        <v>132</v>
      </c>
      <c r="E170" s="5">
        <v>43196</v>
      </c>
      <c r="F170" s="5">
        <v>43267</v>
      </c>
      <c r="G170" s="5">
        <v>43283</v>
      </c>
      <c r="H170" s="4" t="s">
        <v>12</v>
      </c>
      <c r="I170" s="4">
        <v>45.66</v>
      </c>
      <c r="J170" s="4">
        <v>8.23</v>
      </c>
      <c r="K170" s="4">
        <v>37.43</v>
      </c>
      <c r="L170" s="4">
        <v>-16</v>
      </c>
      <c r="M170" s="6">
        <f>+L170*K170</f>
        <v>-598.88</v>
      </c>
      <c r="O170" s="4">
        <f>+G170-E170</f>
        <v>87</v>
      </c>
      <c r="P170" s="4">
        <f>+N170-G170</f>
        <v>-43283</v>
      </c>
    </row>
    <row r="171" spans="1:16" s="7" customFormat="1" x14ac:dyDescent="0.25">
      <c r="A171" s="3" t="s">
        <v>125</v>
      </c>
      <c r="B171" s="4">
        <v>797</v>
      </c>
      <c r="C171" s="5">
        <v>43267</v>
      </c>
      <c r="D171" s="9" t="s">
        <v>133</v>
      </c>
      <c r="E171" s="5">
        <v>43196</v>
      </c>
      <c r="F171" s="5">
        <v>43267</v>
      </c>
      <c r="G171" s="5">
        <v>43283</v>
      </c>
      <c r="H171" s="4" t="s">
        <v>12</v>
      </c>
      <c r="I171" s="4">
        <v>48.68</v>
      </c>
      <c r="J171" s="4">
        <v>8.7799999999999994</v>
      </c>
      <c r="K171" s="4">
        <v>39.9</v>
      </c>
      <c r="L171" s="4">
        <v>-16</v>
      </c>
      <c r="M171" s="6">
        <f>+L171*K171</f>
        <v>-638.4</v>
      </c>
      <c r="O171" s="4">
        <f>+G171-E171</f>
        <v>87</v>
      </c>
      <c r="P171" s="4">
        <f>+N171-G171</f>
        <v>-43283</v>
      </c>
    </row>
    <row r="172" spans="1:16" s="7" customFormat="1" x14ac:dyDescent="0.25">
      <c r="A172" s="3" t="s">
        <v>125</v>
      </c>
      <c r="B172" s="4">
        <v>792</v>
      </c>
      <c r="C172" s="5">
        <v>43267</v>
      </c>
      <c r="D172" s="9" t="s">
        <v>134</v>
      </c>
      <c r="E172" s="5">
        <v>43196</v>
      </c>
      <c r="F172" s="5">
        <v>43267</v>
      </c>
      <c r="G172" s="5">
        <v>43283</v>
      </c>
      <c r="H172" s="4" t="s">
        <v>12</v>
      </c>
      <c r="I172" s="4">
        <v>105.88</v>
      </c>
      <c r="J172" s="4">
        <v>19.09</v>
      </c>
      <c r="K172" s="4">
        <v>86.79</v>
      </c>
      <c r="L172" s="4">
        <v>-16</v>
      </c>
      <c r="M172" s="6">
        <f>+L172*K172</f>
        <v>-1388.64</v>
      </c>
      <c r="O172" s="4">
        <f>+G172-E172</f>
        <v>87</v>
      </c>
      <c r="P172" s="4">
        <f>+N172-G172</f>
        <v>-43283</v>
      </c>
    </row>
    <row r="173" spans="1:16" s="7" customFormat="1" x14ac:dyDescent="0.25">
      <c r="A173" s="3" t="s">
        <v>125</v>
      </c>
      <c r="B173" s="4">
        <v>797</v>
      </c>
      <c r="C173" s="5">
        <v>43267</v>
      </c>
      <c r="D173" s="9" t="s">
        <v>135</v>
      </c>
      <c r="E173" s="5">
        <v>43196</v>
      </c>
      <c r="F173" s="5">
        <v>43267</v>
      </c>
      <c r="G173" s="5">
        <v>43283</v>
      </c>
      <c r="H173" s="4" t="s">
        <v>12</v>
      </c>
      <c r="I173" s="4">
        <v>113.95</v>
      </c>
      <c r="J173" s="4">
        <v>20.55</v>
      </c>
      <c r="K173" s="4">
        <v>93.4</v>
      </c>
      <c r="L173" s="4">
        <v>-16</v>
      </c>
      <c r="M173" s="6">
        <f>+L173*K173</f>
        <v>-1494.4</v>
      </c>
      <c r="O173" s="4">
        <f>+G173-E173</f>
        <v>87</v>
      </c>
      <c r="P173" s="4">
        <f>+N173-G173</f>
        <v>-43283</v>
      </c>
    </row>
    <row r="174" spans="1:16" s="7" customFormat="1" x14ac:dyDescent="0.25">
      <c r="A174" s="3" t="s">
        <v>125</v>
      </c>
      <c r="B174" s="4">
        <v>797</v>
      </c>
      <c r="C174" s="5">
        <v>43267</v>
      </c>
      <c r="D174" s="9" t="s">
        <v>136</v>
      </c>
      <c r="E174" s="5">
        <v>43196</v>
      </c>
      <c r="F174" s="5">
        <v>43267</v>
      </c>
      <c r="G174" s="5">
        <v>43283</v>
      </c>
      <c r="H174" s="4" t="s">
        <v>12</v>
      </c>
      <c r="I174" s="4">
        <v>50.11</v>
      </c>
      <c r="J174" s="4">
        <v>9.0399999999999991</v>
      </c>
      <c r="K174" s="4">
        <v>41.07</v>
      </c>
      <c r="L174" s="4">
        <v>-16</v>
      </c>
      <c r="M174" s="6">
        <f>+L174*K174</f>
        <v>-657.12</v>
      </c>
      <c r="O174" s="4">
        <f>+G174-E174</f>
        <v>87</v>
      </c>
      <c r="P174" s="4">
        <f>+N174-G174</f>
        <v>-43283</v>
      </c>
    </row>
    <row r="175" spans="1:16" s="7" customFormat="1" x14ac:dyDescent="0.25">
      <c r="A175" s="3" t="s">
        <v>125</v>
      </c>
      <c r="B175" s="4">
        <v>797</v>
      </c>
      <c r="C175" s="5">
        <v>43267</v>
      </c>
      <c r="D175" s="9" t="s">
        <v>137</v>
      </c>
      <c r="E175" s="5">
        <v>43196</v>
      </c>
      <c r="F175" s="5">
        <v>43267</v>
      </c>
      <c r="G175" s="5">
        <v>43283</v>
      </c>
      <c r="H175" s="4" t="s">
        <v>12</v>
      </c>
      <c r="I175" s="4">
        <v>34.17</v>
      </c>
      <c r="J175" s="4">
        <v>6.16</v>
      </c>
      <c r="K175" s="4">
        <v>28.01</v>
      </c>
      <c r="L175" s="4">
        <v>-16</v>
      </c>
      <c r="M175" s="6">
        <f>+L175*K175</f>
        <v>-448.16</v>
      </c>
      <c r="O175" s="4">
        <f>+G175-E175</f>
        <v>87</v>
      </c>
      <c r="P175" s="4">
        <f>+N175-G175</f>
        <v>-43283</v>
      </c>
    </row>
    <row r="176" spans="1:16" s="7" customFormat="1" x14ac:dyDescent="0.25">
      <c r="A176" s="3" t="s">
        <v>125</v>
      </c>
      <c r="B176" s="4">
        <v>797</v>
      </c>
      <c r="C176" s="5">
        <v>43267</v>
      </c>
      <c r="D176" s="9" t="s">
        <v>138</v>
      </c>
      <c r="E176" s="5">
        <v>43196</v>
      </c>
      <c r="F176" s="5">
        <v>43267</v>
      </c>
      <c r="G176" s="5">
        <v>43283</v>
      </c>
      <c r="H176" s="4" t="s">
        <v>12</v>
      </c>
      <c r="I176" s="4">
        <v>62.16</v>
      </c>
      <c r="J176" s="4">
        <v>11.21</v>
      </c>
      <c r="K176" s="4">
        <v>50.95</v>
      </c>
      <c r="L176" s="4">
        <v>-16</v>
      </c>
      <c r="M176" s="6">
        <f>+L176*K176</f>
        <v>-815.2</v>
      </c>
      <c r="O176" s="4">
        <f>+G176-E176</f>
        <v>87</v>
      </c>
      <c r="P176" s="4">
        <f>+N176-G176</f>
        <v>-43283</v>
      </c>
    </row>
    <row r="177" spans="1:16" s="7" customFormat="1" x14ac:dyDescent="0.25">
      <c r="A177" s="3" t="s">
        <v>82</v>
      </c>
      <c r="B177" s="4">
        <v>461</v>
      </c>
      <c r="C177" s="5">
        <v>43197</v>
      </c>
      <c r="D177" s="4" t="str">
        <f>"04014"</f>
        <v>04014</v>
      </c>
      <c r="E177" s="5">
        <v>43159</v>
      </c>
      <c r="F177" s="5">
        <v>43197</v>
      </c>
      <c r="G177" s="5">
        <v>43213</v>
      </c>
      <c r="H177" s="4" t="s">
        <v>12</v>
      </c>
      <c r="I177" s="4">
        <v>195.2</v>
      </c>
      <c r="J177" s="4">
        <v>35.200000000000003</v>
      </c>
      <c r="K177" s="4">
        <v>160</v>
      </c>
      <c r="L177" s="4">
        <v>-16</v>
      </c>
      <c r="M177" s="6">
        <f>+L177*K177</f>
        <v>-2560</v>
      </c>
      <c r="O177" s="4">
        <f>+G177-E177</f>
        <v>54</v>
      </c>
      <c r="P177" s="4">
        <f>+N177-G177</f>
        <v>-43213</v>
      </c>
    </row>
    <row r="178" spans="1:16" s="7" customFormat="1" x14ac:dyDescent="0.25">
      <c r="A178" s="3" t="s">
        <v>82</v>
      </c>
      <c r="B178" s="4">
        <v>462</v>
      </c>
      <c r="C178" s="5">
        <v>43197</v>
      </c>
      <c r="D178" s="4" t="str">
        <f>"04013"</f>
        <v>04013</v>
      </c>
      <c r="E178" s="5">
        <v>43159</v>
      </c>
      <c r="F178" s="5">
        <v>43197</v>
      </c>
      <c r="G178" s="5">
        <v>43213</v>
      </c>
      <c r="H178" s="4" t="s">
        <v>12</v>
      </c>
      <c r="I178" s="4">
        <v>146.4</v>
      </c>
      <c r="J178" s="4">
        <v>26.4</v>
      </c>
      <c r="K178" s="4">
        <v>120</v>
      </c>
      <c r="L178" s="4">
        <v>-16</v>
      </c>
      <c r="M178" s="6">
        <f>+L178*K178</f>
        <v>-1920</v>
      </c>
      <c r="O178" s="4">
        <f>+G178-E178</f>
        <v>54</v>
      </c>
      <c r="P178" s="4">
        <f>+N178-G178</f>
        <v>-43213</v>
      </c>
    </row>
    <row r="179" spans="1:16" s="7" customFormat="1" x14ac:dyDescent="0.25">
      <c r="A179" s="3" t="s">
        <v>101</v>
      </c>
      <c r="B179" s="4">
        <v>982</v>
      </c>
      <c r="C179" s="5">
        <v>43281</v>
      </c>
      <c r="D179" s="4" t="str">
        <f>"0000007982"</f>
        <v>0000007982</v>
      </c>
      <c r="E179" s="5">
        <v>43237</v>
      </c>
      <c r="F179" s="5">
        <v>43281</v>
      </c>
      <c r="G179" s="5">
        <v>43297</v>
      </c>
      <c r="H179" s="4" t="s">
        <v>12</v>
      </c>
      <c r="I179" s="4">
        <v>63.24</v>
      </c>
      <c r="J179" s="4">
        <v>11.4</v>
      </c>
      <c r="K179" s="4">
        <v>51.84</v>
      </c>
      <c r="L179" s="4">
        <v>-16</v>
      </c>
      <c r="M179" s="6">
        <f>+L179*K179</f>
        <v>-829.44</v>
      </c>
      <c r="O179" s="4">
        <f>+G179-E179</f>
        <v>60</v>
      </c>
      <c r="P179" s="4">
        <f>+N179-G179</f>
        <v>-43297</v>
      </c>
    </row>
    <row r="180" spans="1:16" s="7" customFormat="1" x14ac:dyDescent="0.25">
      <c r="A180" s="3" t="s">
        <v>101</v>
      </c>
      <c r="B180" s="4">
        <v>983</v>
      </c>
      <c r="C180" s="5">
        <v>43281</v>
      </c>
      <c r="D180" s="4" t="str">
        <f>"0000007981"</f>
        <v>0000007981</v>
      </c>
      <c r="E180" s="5">
        <v>43237</v>
      </c>
      <c r="F180" s="5">
        <v>43281</v>
      </c>
      <c r="G180" s="5">
        <v>43297</v>
      </c>
      <c r="H180" s="4" t="s">
        <v>12</v>
      </c>
      <c r="I180" s="4">
        <v>57.91</v>
      </c>
      <c r="J180" s="4">
        <v>10.44</v>
      </c>
      <c r="K180" s="4">
        <v>47.47</v>
      </c>
      <c r="L180" s="4">
        <v>-16</v>
      </c>
      <c r="M180" s="6">
        <f>+L180*K180</f>
        <v>-759.52</v>
      </c>
      <c r="O180" s="4">
        <f>+G180-E180</f>
        <v>60</v>
      </c>
      <c r="P180" s="4">
        <f>+N180-G180</f>
        <v>-43297</v>
      </c>
    </row>
    <row r="181" spans="1:16" s="7" customFormat="1" x14ac:dyDescent="0.25">
      <c r="A181" s="3" t="s">
        <v>18</v>
      </c>
      <c r="B181" s="4">
        <v>780</v>
      </c>
      <c r="C181" s="5">
        <v>43266</v>
      </c>
      <c r="D181" s="4" t="str">
        <f>"4"</f>
        <v>4</v>
      </c>
      <c r="E181" s="5">
        <v>43251</v>
      </c>
      <c r="F181" s="5">
        <v>43266</v>
      </c>
      <c r="G181" s="5">
        <v>43285</v>
      </c>
      <c r="H181" s="4" t="s">
        <v>12</v>
      </c>
      <c r="I181" s="6">
        <v>7250.3</v>
      </c>
      <c r="J181" s="6">
        <v>1307.43</v>
      </c>
      <c r="K181" s="6">
        <v>5942.87</v>
      </c>
      <c r="L181" s="4">
        <v>-19</v>
      </c>
      <c r="M181" s="6">
        <f>+L181*K181</f>
        <v>-112914.53</v>
      </c>
      <c r="N181" s="8">
        <v>43255</v>
      </c>
      <c r="O181" s="4">
        <f>+G181-E181</f>
        <v>34</v>
      </c>
      <c r="P181" s="4">
        <f>+N181-G181</f>
        <v>-30</v>
      </c>
    </row>
    <row r="182" spans="1:16" s="7" customFormat="1" x14ac:dyDescent="0.25">
      <c r="A182" s="3" t="s">
        <v>56</v>
      </c>
      <c r="B182" s="4">
        <v>519</v>
      </c>
      <c r="C182" s="5">
        <v>43211</v>
      </c>
      <c r="D182" s="4" t="s">
        <v>57</v>
      </c>
      <c r="E182" s="5">
        <v>43190</v>
      </c>
      <c r="F182" s="5">
        <v>43211</v>
      </c>
      <c r="G182" s="5">
        <v>43231</v>
      </c>
      <c r="H182" s="4" t="s">
        <v>12</v>
      </c>
      <c r="I182" s="4">
        <v>557</v>
      </c>
      <c r="J182" s="4">
        <v>0</v>
      </c>
      <c r="K182" s="4">
        <v>557</v>
      </c>
      <c r="L182" s="4">
        <v>-20</v>
      </c>
      <c r="M182" s="6">
        <f>+L182*K182</f>
        <v>-11140</v>
      </c>
      <c r="N182" s="8">
        <v>43201</v>
      </c>
      <c r="O182" s="4">
        <f>+G182-E182</f>
        <v>41</v>
      </c>
      <c r="P182" s="4">
        <f>+N182-G182</f>
        <v>-30</v>
      </c>
    </row>
    <row r="183" spans="1:16" s="7" customFormat="1" x14ac:dyDescent="0.25">
      <c r="A183" s="3" t="s">
        <v>139</v>
      </c>
      <c r="B183" s="4">
        <v>465</v>
      </c>
      <c r="C183" s="5">
        <v>43197</v>
      </c>
      <c r="D183" s="4" t="s">
        <v>140</v>
      </c>
      <c r="E183" s="5">
        <v>43186</v>
      </c>
      <c r="F183" s="5">
        <v>43197</v>
      </c>
      <c r="G183" s="5">
        <v>43217</v>
      </c>
      <c r="H183" s="4" t="s">
        <v>12</v>
      </c>
      <c r="I183" s="6">
        <v>8879.68</v>
      </c>
      <c r="J183" s="6">
        <v>1601.25</v>
      </c>
      <c r="K183" s="6">
        <v>7278.43</v>
      </c>
      <c r="L183" s="4">
        <v>-20</v>
      </c>
      <c r="M183" s="6">
        <f>+L183*K183</f>
        <v>-145568.6</v>
      </c>
      <c r="O183" s="4">
        <f>+G183-E183</f>
        <v>31</v>
      </c>
      <c r="P183" s="4">
        <f>+N183-G183</f>
        <v>-43217</v>
      </c>
    </row>
    <row r="184" spans="1:16" s="7" customFormat="1" x14ac:dyDescent="0.25">
      <c r="A184" s="3" t="s">
        <v>141</v>
      </c>
      <c r="B184" s="4">
        <v>776</v>
      </c>
      <c r="C184" s="5">
        <v>43260</v>
      </c>
      <c r="D184" s="4" t="s">
        <v>142</v>
      </c>
      <c r="E184" s="5">
        <v>43237</v>
      </c>
      <c r="F184" s="5">
        <v>43260</v>
      </c>
      <c r="G184" s="5">
        <v>43281</v>
      </c>
      <c r="H184" s="4" t="s">
        <v>12</v>
      </c>
      <c r="I184" s="4">
        <v>100</v>
      </c>
      <c r="J184" s="4">
        <v>0</v>
      </c>
      <c r="K184" s="4">
        <v>100</v>
      </c>
      <c r="L184" s="4">
        <v>-21</v>
      </c>
      <c r="M184" s="6">
        <f>+L184*K184</f>
        <v>-2100</v>
      </c>
      <c r="O184" s="4">
        <f>+G184-E184</f>
        <v>44</v>
      </c>
      <c r="P184" s="4">
        <f>+N184-G184</f>
        <v>-43281</v>
      </c>
    </row>
    <row r="185" spans="1:16" s="7" customFormat="1" x14ac:dyDescent="0.25">
      <c r="A185" s="3" t="s">
        <v>141</v>
      </c>
      <c r="B185" s="4">
        <v>776</v>
      </c>
      <c r="C185" s="5">
        <v>43260</v>
      </c>
      <c r="D185" s="4" t="s">
        <v>142</v>
      </c>
      <c r="E185" s="5">
        <v>43237</v>
      </c>
      <c r="F185" s="5">
        <v>43260</v>
      </c>
      <c r="G185" s="5">
        <v>43281</v>
      </c>
      <c r="H185" s="4" t="s">
        <v>12</v>
      </c>
      <c r="I185" s="4">
        <v>2</v>
      </c>
      <c r="J185" s="4">
        <v>0</v>
      </c>
      <c r="K185" s="4">
        <v>2</v>
      </c>
      <c r="L185" s="4">
        <v>-21</v>
      </c>
      <c r="M185" s="6">
        <f>+L185*K185</f>
        <v>-42</v>
      </c>
      <c r="O185" s="4">
        <f>+G185-E185</f>
        <v>44</v>
      </c>
      <c r="P185" s="4">
        <f>+N185-G185</f>
        <v>-43281</v>
      </c>
    </row>
    <row r="186" spans="1:16" s="7" customFormat="1" x14ac:dyDescent="0.25">
      <c r="A186" s="3" t="s">
        <v>84</v>
      </c>
      <c r="B186" s="4">
        <v>472</v>
      </c>
      <c r="C186" s="5">
        <v>43197</v>
      </c>
      <c r="D186" s="4" t="s">
        <v>143</v>
      </c>
      <c r="E186" s="5">
        <v>43159</v>
      </c>
      <c r="F186" s="5">
        <v>43197</v>
      </c>
      <c r="G186" s="5">
        <v>43218</v>
      </c>
      <c r="H186" s="4" t="s">
        <v>12</v>
      </c>
      <c r="I186" s="6">
        <v>6585.09</v>
      </c>
      <c r="J186" s="4">
        <v>313.58</v>
      </c>
      <c r="K186" s="6">
        <v>6271.51</v>
      </c>
      <c r="L186" s="4">
        <v>-21</v>
      </c>
      <c r="M186" s="6">
        <f>+L186*K186</f>
        <v>-131701.71</v>
      </c>
      <c r="O186" s="4">
        <f>+G186-E186</f>
        <v>59</v>
      </c>
      <c r="P186" s="4">
        <f>+N186-G186</f>
        <v>-43218</v>
      </c>
    </row>
    <row r="187" spans="1:16" s="7" customFormat="1" x14ac:dyDescent="0.25">
      <c r="A187" s="3" t="s">
        <v>37</v>
      </c>
      <c r="B187" s="4">
        <v>452</v>
      </c>
      <c r="C187" s="5">
        <v>43197</v>
      </c>
      <c r="D187" s="4" t="str">
        <f>"18025"</f>
        <v>18025</v>
      </c>
      <c r="E187" s="5">
        <v>43159</v>
      </c>
      <c r="F187" s="5">
        <v>43197</v>
      </c>
      <c r="G187" s="5">
        <v>43219</v>
      </c>
      <c r="H187" s="4" t="s">
        <v>12</v>
      </c>
      <c r="I187" s="6">
        <v>14346.04</v>
      </c>
      <c r="J187" s="6">
        <v>2586.9899999999998</v>
      </c>
      <c r="K187" s="6">
        <v>11759.05</v>
      </c>
      <c r="L187" s="4">
        <v>-22</v>
      </c>
      <c r="M187" s="6">
        <f>+L187*K187</f>
        <v>-258699.09999999998</v>
      </c>
      <c r="O187" s="4">
        <f>+G187-E187</f>
        <v>60</v>
      </c>
      <c r="P187" s="4">
        <f>+N187-G187</f>
        <v>-43219</v>
      </c>
    </row>
    <row r="188" spans="1:16" s="7" customFormat="1" x14ac:dyDescent="0.25">
      <c r="A188" s="3" t="s">
        <v>13</v>
      </c>
      <c r="B188" s="4">
        <v>529</v>
      </c>
      <c r="C188" s="5">
        <v>43211</v>
      </c>
      <c r="D188" s="4" t="s">
        <v>144</v>
      </c>
      <c r="E188" s="5">
        <v>43187</v>
      </c>
      <c r="F188" s="5">
        <v>43211</v>
      </c>
      <c r="G188" s="5">
        <v>43233</v>
      </c>
      <c r="H188" s="4" t="s">
        <v>15</v>
      </c>
      <c r="I188" s="6">
        <v>2788</v>
      </c>
      <c r="J188" s="4">
        <v>0</v>
      </c>
      <c r="K188" s="6">
        <v>2788</v>
      </c>
      <c r="L188" s="4">
        <v>-22</v>
      </c>
      <c r="M188" s="6">
        <f>+L188*K188</f>
        <v>-61336</v>
      </c>
      <c r="O188" s="4">
        <f>+G188-E188</f>
        <v>46</v>
      </c>
      <c r="P188" s="4">
        <f>+N188-G188</f>
        <v>-43233</v>
      </c>
    </row>
    <row r="189" spans="1:16" s="7" customFormat="1" x14ac:dyDescent="0.25">
      <c r="A189" s="3" t="s">
        <v>44</v>
      </c>
      <c r="B189" s="4">
        <v>684</v>
      </c>
      <c r="C189" s="5">
        <v>43248</v>
      </c>
      <c r="D189" s="4" t="s">
        <v>45</v>
      </c>
      <c r="E189" s="5">
        <v>43230</v>
      </c>
      <c r="F189" s="5">
        <v>43248</v>
      </c>
      <c r="G189" s="5">
        <v>43271</v>
      </c>
      <c r="H189" s="4" t="s">
        <v>12</v>
      </c>
      <c r="I189" s="6">
        <v>26999.360000000001</v>
      </c>
      <c r="J189" s="6">
        <v>2454.4899999999998</v>
      </c>
      <c r="K189" s="6">
        <v>24544.87</v>
      </c>
      <c r="L189" s="4">
        <v>-23</v>
      </c>
      <c r="M189" s="6">
        <f>+L189*K189</f>
        <v>-564532.01</v>
      </c>
      <c r="N189" s="8">
        <v>43241</v>
      </c>
      <c r="O189" s="4">
        <f>+G189-E189</f>
        <v>41</v>
      </c>
      <c r="P189" s="4">
        <f>+N189-G189</f>
        <v>-30</v>
      </c>
    </row>
    <row r="190" spans="1:16" s="7" customFormat="1" x14ac:dyDescent="0.25">
      <c r="A190" s="3" t="s">
        <v>125</v>
      </c>
      <c r="B190" s="4">
        <v>446</v>
      </c>
      <c r="C190" s="5">
        <v>43197</v>
      </c>
      <c r="D190" s="9" t="s">
        <v>145</v>
      </c>
      <c r="E190" s="5">
        <v>43137</v>
      </c>
      <c r="F190" s="5">
        <v>43197</v>
      </c>
      <c r="G190" s="5">
        <v>43220</v>
      </c>
      <c r="H190" s="4" t="s">
        <v>12</v>
      </c>
      <c r="I190" s="4">
        <v>218.31</v>
      </c>
      <c r="J190" s="4">
        <v>39.369999999999997</v>
      </c>
      <c r="K190" s="4">
        <v>178.94</v>
      </c>
      <c r="L190" s="4">
        <v>-23</v>
      </c>
      <c r="M190" s="6">
        <f>+L190*K190</f>
        <v>-4115.62</v>
      </c>
      <c r="O190" s="4">
        <f>+G190-E190</f>
        <v>83</v>
      </c>
      <c r="P190" s="4">
        <f>+N190-G190</f>
        <v>-43220</v>
      </c>
    </row>
    <row r="191" spans="1:16" s="7" customFormat="1" x14ac:dyDescent="0.25">
      <c r="A191" s="3" t="s">
        <v>125</v>
      </c>
      <c r="B191" s="4">
        <v>446</v>
      </c>
      <c r="C191" s="5">
        <v>43197</v>
      </c>
      <c r="D191" s="9" t="s">
        <v>146</v>
      </c>
      <c r="E191" s="5">
        <v>43137</v>
      </c>
      <c r="F191" s="5">
        <v>43197</v>
      </c>
      <c r="G191" s="5">
        <v>43220</v>
      </c>
      <c r="H191" s="4" t="s">
        <v>12</v>
      </c>
      <c r="I191" s="4">
        <v>1.9</v>
      </c>
      <c r="J191" s="4">
        <v>0.34</v>
      </c>
      <c r="K191" s="4">
        <v>1.56</v>
      </c>
      <c r="L191" s="4">
        <v>-23</v>
      </c>
      <c r="M191" s="6">
        <f>+L191*K191</f>
        <v>-35.880000000000003</v>
      </c>
      <c r="O191" s="4">
        <f>+G191-E191</f>
        <v>83</v>
      </c>
      <c r="P191" s="4">
        <f>+N191-G191</f>
        <v>-43220</v>
      </c>
    </row>
    <row r="192" spans="1:16" s="7" customFormat="1" x14ac:dyDescent="0.25">
      <c r="A192" s="3" t="s">
        <v>125</v>
      </c>
      <c r="B192" s="4">
        <v>445</v>
      </c>
      <c r="C192" s="5">
        <v>43197</v>
      </c>
      <c r="D192" s="9" t="s">
        <v>147</v>
      </c>
      <c r="E192" s="5">
        <v>43137</v>
      </c>
      <c r="F192" s="5">
        <v>43197</v>
      </c>
      <c r="G192" s="5">
        <v>43220</v>
      </c>
      <c r="H192" s="4" t="s">
        <v>12</v>
      </c>
      <c r="I192" s="4">
        <v>51.94</v>
      </c>
      <c r="J192" s="4">
        <v>9.3699999999999992</v>
      </c>
      <c r="K192" s="4">
        <v>42.57</v>
      </c>
      <c r="L192" s="4">
        <v>-23</v>
      </c>
      <c r="M192" s="6">
        <f>+L192*K192</f>
        <v>-979.11</v>
      </c>
      <c r="O192" s="4">
        <f>+G192-E192</f>
        <v>83</v>
      </c>
      <c r="P192" s="4">
        <f>+N192-G192</f>
        <v>-43220</v>
      </c>
    </row>
    <row r="193" spans="1:16" s="7" customFormat="1" x14ac:dyDescent="0.25">
      <c r="A193" s="3" t="s">
        <v>125</v>
      </c>
      <c r="B193" s="4">
        <v>446</v>
      </c>
      <c r="C193" s="5">
        <v>43197</v>
      </c>
      <c r="D193" s="9" t="s">
        <v>148</v>
      </c>
      <c r="E193" s="5">
        <v>43137</v>
      </c>
      <c r="F193" s="5">
        <v>43197</v>
      </c>
      <c r="G193" s="5">
        <v>43220</v>
      </c>
      <c r="H193" s="4" t="s">
        <v>12</v>
      </c>
      <c r="I193" s="4">
        <v>0.01</v>
      </c>
      <c r="J193" s="4">
        <v>0</v>
      </c>
      <c r="K193" s="4">
        <v>0.01</v>
      </c>
      <c r="L193" s="4">
        <v>-23</v>
      </c>
      <c r="M193" s="6">
        <f>+L193*K193</f>
        <v>-0.23</v>
      </c>
      <c r="O193" s="4">
        <f>+G193-E193</f>
        <v>83</v>
      </c>
      <c r="P193" s="4">
        <f>+N193-G193</f>
        <v>-43220</v>
      </c>
    </row>
    <row r="194" spans="1:16" s="7" customFormat="1" x14ac:dyDescent="0.25">
      <c r="A194" s="3" t="s">
        <v>125</v>
      </c>
      <c r="B194" s="4">
        <v>445</v>
      </c>
      <c r="C194" s="5">
        <v>43197</v>
      </c>
      <c r="D194" s="9" t="s">
        <v>149</v>
      </c>
      <c r="E194" s="5">
        <v>43137</v>
      </c>
      <c r="F194" s="5">
        <v>43197</v>
      </c>
      <c r="G194" s="5">
        <v>43220</v>
      </c>
      <c r="H194" s="4" t="s">
        <v>12</v>
      </c>
      <c r="I194" s="4">
        <v>10.96</v>
      </c>
      <c r="J194" s="4">
        <v>1.98</v>
      </c>
      <c r="K194" s="4">
        <v>8.98</v>
      </c>
      <c r="L194" s="4">
        <v>-23</v>
      </c>
      <c r="M194" s="6">
        <f>+L194*K194</f>
        <v>-206.54000000000002</v>
      </c>
      <c r="O194" s="4">
        <f>+G194-E194</f>
        <v>83</v>
      </c>
      <c r="P194" s="4">
        <f>+N194-G194</f>
        <v>-43220</v>
      </c>
    </row>
    <row r="195" spans="1:16" s="7" customFormat="1" x14ac:dyDescent="0.25">
      <c r="A195" s="3" t="s">
        <v>125</v>
      </c>
      <c r="B195" s="4">
        <v>447</v>
      </c>
      <c r="C195" s="5">
        <v>43197</v>
      </c>
      <c r="D195" s="9" t="s">
        <v>150</v>
      </c>
      <c r="E195" s="5">
        <v>43137</v>
      </c>
      <c r="F195" s="5">
        <v>43197</v>
      </c>
      <c r="G195" s="5">
        <v>43220</v>
      </c>
      <c r="H195" s="4" t="s">
        <v>12</v>
      </c>
      <c r="I195" s="4">
        <v>20.58</v>
      </c>
      <c r="J195" s="4">
        <v>3.71</v>
      </c>
      <c r="K195" s="4">
        <v>16.87</v>
      </c>
      <c r="L195" s="4">
        <v>-23</v>
      </c>
      <c r="M195" s="6">
        <f>+L195*K195</f>
        <v>-388.01000000000005</v>
      </c>
      <c r="O195" s="4">
        <f>+G195-E195</f>
        <v>83</v>
      </c>
      <c r="P195" s="4">
        <f>+N195-G195</f>
        <v>-43220</v>
      </c>
    </row>
    <row r="196" spans="1:16" s="7" customFormat="1" x14ac:dyDescent="0.25">
      <c r="A196" s="3" t="s">
        <v>125</v>
      </c>
      <c r="B196" s="4">
        <v>446</v>
      </c>
      <c r="C196" s="5">
        <v>43197</v>
      </c>
      <c r="D196" s="9" t="s">
        <v>151</v>
      </c>
      <c r="E196" s="5">
        <v>43137</v>
      </c>
      <c r="F196" s="5">
        <v>43197</v>
      </c>
      <c r="G196" s="5">
        <v>43220</v>
      </c>
      <c r="H196" s="4" t="s">
        <v>12</v>
      </c>
      <c r="I196" s="4">
        <v>16.010000000000002</v>
      </c>
      <c r="J196" s="4">
        <v>2.89</v>
      </c>
      <c r="K196" s="4">
        <v>13.12</v>
      </c>
      <c r="L196" s="4">
        <v>-23</v>
      </c>
      <c r="M196" s="6">
        <f>+L196*K196</f>
        <v>-301.76</v>
      </c>
      <c r="O196" s="4">
        <f>+G196-E196</f>
        <v>83</v>
      </c>
      <c r="P196" s="4">
        <f>+N196-G196</f>
        <v>-43220</v>
      </c>
    </row>
    <row r="197" spans="1:16" s="7" customFormat="1" x14ac:dyDescent="0.25">
      <c r="A197" s="3" t="s">
        <v>125</v>
      </c>
      <c r="B197" s="4">
        <v>449</v>
      </c>
      <c r="C197" s="5">
        <v>43197</v>
      </c>
      <c r="D197" s="9" t="s">
        <v>152</v>
      </c>
      <c r="E197" s="5">
        <v>43137</v>
      </c>
      <c r="F197" s="5">
        <v>43197</v>
      </c>
      <c r="G197" s="5">
        <v>43220</v>
      </c>
      <c r="H197" s="4" t="s">
        <v>12</v>
      </c>
      <c r="I197" s="4">
        <v>0.31</v>
      </c>
      <c r="J197" s="4">
        <v>0.06</v>
      </c>
      <c r="K197" s="4">
        <v>0.25</v>
      </c>
      <c r="L197" s="4">
        <v>-23</v>
      </c>
      <c r="M197" s="6">
        <f>+L197*K197</f>
        <v>-5.75</v>
      </c>
      <c r="O197" s="4">
        <f>+G197-E197</f>
        <v>83</v>
      </c>
      <c r="P197" s="4">
        <f>+N197-G197</f>
        <v>-43220</v>
      </c>
    </row>
    <row r="198" spans="1:16" s="7" customFormat="1" x14ac:dyDescent="0.25">
      <c r="A198" s="3" t="s">
        <v>125</v>
      </c>
      <c r="B198" s="4">
        <v>448</v>
      </c>
      <c r="C198" s="5">
        <v>43197</v>
      </c>
      <c r="D198" s="9" t="s">
        <v>153</v>
      </c>
      <c r="E198" s="5">
        <v>43137</v>
      </c>
      <c r="F198" s="5">
        <v>43197</v>
      </c>
      <c r="G198" s="5">
        <v>43220</v>
      </c>
      <c r="H198" s="4" t="s">
        <v>12</v>
      </c>
      <c r="I198" s="4">
        <v>5.25</v>
      </c>
      <c r="J198" s="4">
        <v>0.95</v>
      </c>
      <c r="K198" s="4">
        <v>4.3</v>
      </c>
      <c r="L198" s="4">
        <v>-23</v>
      </c>
      <c r="M198" s="6">
        <f>+L198*K198</f>
        <v>-98.899999999999991</v>
      </c>
      <c r="O198" s="4">
        <f>+G198-E198</f>
        <v>83</v>
      </c>
      <c r="P198" s="4">
        <f>+N198-G198</f>
        <v>-43220</v>
      </c>
    </row>
    <row r="199" spans="1:16" s="7" customFormat="1" x14ac:dyDescent="0.25">
      <c r="A199" s="3" t="s">
        <v>125</v>
      </c>
      <c r="B199" s="4">
        <v>450</v>
      </c>
      <c r="C199" s="5">
        <v>43197</v>
      </c>
      <c r="D199" s="9" t="s">
        <v>154</v>
      </c>
      <c r="E199" s="5">
        <v>43137</v>
      </c>
      <c r="F199" s="5">
        <v>43197</v>
      </c>
      <c r="G199" s="5">
        <v>43220</v>
      </c>
      <c r="H199" s="4" t="s">
        <v>12</v>
      </c>
      <c r="I199" s="4">
        <v>10.64</v>
      </c>
      <c r="J199" s="4">
        <v>1.92</v>
      </c>
      <c r="K199" s="4">
        <v>8.7200000000000006</v>
      </c>
      <c r="L199" s="4">
        <v>-23</v>
      </c>
      <c r="M199" s="6">
        <f>+L199*K199</f>
        <v>-200.56</v>
      </c>
      <c r="O199" s="4">
        <f>+G199-E199</f>
        <v>83</v>
      </c>
      <c r="P199" s="4">
        <f>+N199-G199</f>
        <v>-43220</v>
      </c>
    </row>
    <row r="200" spans="1:16" s="7" customFormat="1" x14ac:dyDescent="0.25">
      <c r="A200" s="3" t="s">
        <v>125</v>
      </c>
      <c r="B200" s="4">
        <v>446</v>
      </c>
      <c r="C200" s="5">
        <v>43197</v>
      </c>
      <c r="D200" s="9" t="s">
        <v>155</v>
      </c>
      <c r="E200" s="5">
        <v>43137</v>
      </c>
      <c r="F200" s="5">
        <v>43197</v>
      </c>
      <c r="G200" s="5">
        <v>43220</v>
      </c>
      <c r="H200" s="4" t="s">
        <v>12</v>
      </c>
      <c r="I200" s="4">
        <v>0.32</v>
      </c>
      <c r="J200" s="4">
        <v>0.06</v>
      </c>
      <c r="K200" s="4">
        <v>0.26</v>
      </c>
      <c r="L200" s="4">
        <v>-23</v>
      </c>
      <c r="M200" s="6">
        <f>+L200*K200</f>
        <v>-5.98</v>
      </c>
      <c r="O200" s="4">
        <f>+G200-E200</f>
        <v>83</v>
      </c>
      <c r="P200" s="4">
        <f>+N200-G200</f>
        <v>-43220</v>
      </c>
    </row>
    <row r="201" spans="1:16" s="7" customFormat="1" x14ac:dyDescent="0.25">
      <c r="A201" s="3" t="s">
        <v>125</v>
      </c>
      <c r="B201" s="4">
        <v>446</v>
      </c>
      <c r="C201" s="5">
        <v>43197</v>
      </c>
      <c r="D201" s="9" t="s">
        <v>156</v>
      </c>
      <c r="E201" s="5">
        <v>43137</v>
      </c>
      <c r="F201" s="5">
        <v>43197</v>
      </c>
      <c r="G201" s="5">
        <v>43220</v>
      </c>
      <c r="H201" s="4" t="s">
        <v>12</v>
      </c>
      <c r="I201" s="4">
        <v>73.81</v>
      </c>
      <c r="J201" s="4">
        <v>13.31</v>
      </c>
      <c r="K201" s="4">
        <v>60.5</v>
      </c>
      <c r="L201" s="4">
        <v>-23</v>
      </c>
      <c r="M201" s="6">
        <f>+L201*K201</f>
        <v>-1391.5</v>
      </c>
      <c r="O201" s="4">
        <f>+G201-E201</f>
        <v>83</v>
      </c>
      <c r="P201" s="4">
        <f>+N201-G201</f>
        <v>-43220</v>
      </c>
    </row>
    <row r="202" spans="1:16" s="7" customFormat="1" x14ac:dyDescent="0.25">
      <c r="A202" s="3" t="s">
        <v>118</v>
      </c>
      <c r="B202" s="4">
        <v>460</v>
      </c>
      <c r="C202" s="5">
        <v>43197</v>
      </c>
      <c r="D202" s="4" t="s">
        <v>157</v>
      </c>
      <c r="E202" s="5">
        <v>43174</v>
      </c>
      <c r="F202" s="5">
        <v>43197</v>
      </c>
      <c r="G202" s="5">
        <v>43220</v>
      </c>
      <c r="H202" s="4" t="s">
        <v>12</v>
      </c>
      <c r="I202" s="6">
        <v>2196</v>
      </c>
      <c r="J202" s="4">
        <v>396</v>
      </c>
      <c r="K202" s="6">
        <v>1800</v>
      </c>
      <c r="L202" s="4">
        <v>-23</v>
      </c>
      <c r="M202" s="6">
        <f>+L202*K202</f>
        <v>-41400</v>
      </c>
      <c r="O202" s="4">
        <f>+G202-E202</f>
        <v>46</v>
      </c>
      <c r="P202" s="4">
        <f>+N202-G202</f>
        <v>-43220</v>
      </c>
    </row>
    <row r="203" spans="1:16" s="7" customFormat="1" x14ac:dyDescent="0.25">
      <c r="A203" s="3" t="s">
        <v>33</v>
      </c>
      <c r="B203" s="4">
        <v>456</v>
      </c>
      <c r="C203" s="5">
        <v>43197</v>
      </c>
      <c r="D203" s="4" t="s">
        <v>158</v>
      </c>
      <c r="E203" s="5">
        <v>43159</v>
      </c>
      <c r="F203" s="5">
        <v>43197</v>
      </c>
      <c r="G203" s="5">
        <v>43220</v>
      </c>
      <c r="H203" s="4" t="s">
        <v>12</v>
      </c>
      <c r="I203" s="6">
        <v>13301.62</v>
      </c>
      <c r="J203" s="4">
        <v>511.6</v>
      </c>
      <c r="K203" s="6">
        <v>12790.02</v>
      </c>
      <c r="L203" s="4">
        <v>-23</v>
      </c>
      <c r="M203" s="6">
        <f>+L203*K203</f>
        <v>-294170.46000000002</v>
      </c>
      <c r="O203" s="4">
        <f>+G203-E203</f>
        <v>61</v>
      </c>
      <c r="P203" s="4">
        <f>+N203-G203</f>
        <v>-43220</v>
      </c>
    </row>
    <row r="204" spans="1:16" s="7" customFormat="1" x14ac:dyDescent="0.25">
      <c r="A204" s="3" t="s">
        <v>13</v>
      </c>
      <c r="B204" s="4">
        <v>528</v>
      </c>
      <c r="C204" s="5">
        <v>43211</v>
      </c>
      <c r="D204" s="4" t="s">
        <v>159</v>
      </c>
      <c r="E204" s="5">
        <v>43187</v>
      </c>
      <c r="F204" s="5">
        <v>43211</v>
      </c>
      <c r="G204" s="5">
        <v>43236</v>
      </c>
      <c r="H204" s="4" t="s">
        <v>15</v>
      </c>
      <c r="I204" s="6">
        <v>4693</v>
      </c>
      <c r="J204" s="4">
        <v>0</v>
      </c>
      <c r="K204" s="6">
        <v>4693</v>
      </c>
      <c r="L204" s="4">
        <v>-25</v>
      </c>
      <c r="M204" s="6">
        <f>+L204*K204</f>
        <v>-117325</v>
      </c>
      <c r="O204" s="4">
        <f>+G204-E204</f>
        <v>49</v>
      </c>
      <c r="P204" s="4">
        <f>+N204-G204</f>
        <v>-43236</v>
      </c>
    </row>
    <row r="205" spans="1:16" s="7" customFormat="1" x14ac:dyDescent="0.25">
      <c r="A205" s="3" t="s">
        <v>44</v>
      </c>
      <c r="B205" s="4">
        <v>779</v>
      </c>
      <c r="C205" s="5">
        <v>43266</v>
      </c>
      <c r="D205" s="4" t="s">
        <v>87</v>
      </c>
      <c r="E205" s="5">
        <v>43259</v>
      </c>
      <c r="F205" s="5">
        <v>43266</v>
      </c>
      <c r="G205" s="5">
        <v>43292</v>
      </c>
      <c r="H205" s="4" t="s">
        <v>12</v>
      </c>
      <c r="I205" s="6">
        <v>62920</v>
      </c>
      <c r="J205" s="6">
        <v>5720</v>
      </c>
      <c r="K205" s="6">
        <v>57200</v>
      </c>
      <c r="L205" s="4">
        <v>-26</v>
      </c>
      <c r="M205" s="6">
        <f>+L205*K205</f>
        <v>-1487200</v>
      </c>
      <c r="N205" s="8">
        <v>43262</v>
      </c>
      <c r="O205" s="4">
        <f>+G205-E205</f>
        <v>33</v>
      </c>
      <c r="P205" s="4">
        <f>+N205-G205</f>
        <v>-30</v>
      </c>
    </row>
    <row r="206" spans="1:16" s="7" customFormat="1" x14ac:dyDescent="0.25">
      <c r="A206" s="3" t="s">
        <v>21</v>
      </c>
      <c r="B206" s="4">
        <v>498</v>
      </c>
      <c r="C206" s="5">
        <v>43211</v>
      </c>
      <c r="D206" s="4" t="str">
        <f>"7882018"</f>
        <v>7882018</v>
      </c>
      <c r="E206" s="5">
        <v>43206</v>
      </c>
      <c r="F206" s="5">
        <v>43211</v>
      </c>
      <c r="G206" s="5">
        <v>43238</v>
      </c>
      <c r="H206" s="4" t="s">
        <v>12</v>
      </c>
      <c r="I206" s="4">
        <v>652</v>
      </c>
      <c r="J206" s="4">
        <v>0</v>
      </c>
      <c r="K206" s="4">
        <v>652</v>
      </c>
      <c r="L206" s="4">
        <v>-27</v>
      </c>
      <c r="M206" s="6">
        <f>+L206*K206</f>
        <v>-17604</v>
      </c>
      <c r="N206" s="8">
        <v>43208</v>
      </c>
      <c r="O206" s="4">
        <f>+G206-E206</f>
        <v>32</v>
      </c>
      <c r="P206" s="4">
        <f>+N206-G206</f>
        <v>-30</v>
      </c>
    </row>
    <row r="207" spans="1:16" s="7" customFormat="1" x14ac:dyDescent="0.25">
      <c r="A207" s="3" t="s">
        <v>37</v>
      </c>
      <c r="B207" s="4">
        <v>977</v>
      </c>
      <c r="C207" s="5">
        <v>43281</v>
      </c>
      <c r="D207" s="4" t="str">
        <f>"18073"</f>
        <v>18073</v>
      </c>
      <c r="E207" s="5">
        <v>43250</v>
      </c>
      <c r="F207" s="5">
        <v>43281</v>
      </c>
      <c r="G207" s="5">
        <v>43310</v>
      </c>
      <c r="H207" s="4" t="s">
        <v>12</v>
      </c>
      <c r="I207" s="6">
        <v>9530.08</v>
      </c>
      <c r="J207" s="6">
        <v>1718.54</v>
      </c>
      <c r="K207" s="6">
        <v>7811.54</v>
      </c>
      <c r="L207" s="4">
        <v>-29</v>
      </c>
      <c r="M207" s="6">
        <f>+L207*K207</f>
        <v>-226534.66</v>
      </c>
      <c r="O207" s="4">
        <f>+G207-E207</f>
        <v>60</v>
      </c>
      <c r="P207" s="4">
        <f>+N207-G207</f>
        <v>-43310</v>
      </c>
    </row>
    <row r="208" spans="1:16" s="7" customFormat="1" x14ac:dyDescent="0.25">
      <c r="A208" s="3" t="s">
        <v>160</v>
      </c>
      <c r="B208" s="4">
        <v>716</v>
      </c>
      <c r="C208" s="5">
        <v>43251</v>
      </c>
      <c r="D208" s="4" t="s">
        <v>161</v>
      </c>
      <c r="E208" s="5">
        <v>43208</v>
      </c>
      <c r="F208" s="5">
        <v>43252</v>
      </c>
      <c r="G208" s="5">
        <v>43281</v>
      </c>
      <c r="H208" s="4" t="s">
        <v>12</v>
      </c>
      <c r="I208" s="4">
        <v>69.540000000000006</v>
      </c>
      <c r="J208" s="4">
        <v>12.54</v>
      </c>
      <c r="K208" s="4">
        <v>57</v>
      </c>
      <c r="L208" s="4">
        <v>-29</v>
      </c>
      <c r="M208" s="6">
        <f>+L208*K208</f>
        <v>-1653</v>
      </c>
      <c r="O208" s="4">
        <f>+G208-E208</f>
        <v>73</v>
      </c>
      <c r="P208" s="4">
        <f>+N208-G208</f>
        <v>-43281</v>
      </c>
    </row>
    <row r="209" spans="1:16" s="7" customFormat="1" x14ac:dyDescent="0.25">
      <c r="A209" s="3" t="s">
        <v>162</v>
      </c>
      <c r="B209" s="4">
        <v>778</v>
      </c>
      <c r="C209" s="5">
        <v>43266</v>
      </c>
      <c r="D209" s="4" t="s">
        <v>163</v>
      </c>
      <c r="E209" s="5">
        <v>43263</v>
      </c>
      <c r="F209" s="5">
        <v>43266</v>
      </c>
      <c r="G209" s="5">
        <v>43295</v>
      </c>
      <c r="H209" s="4" t="s">
        <v>15</v>
      </c>
      <c r="I209" s="6">
        <v>13500</v>
      </c>
      <c r="J209" s="4">
        <v>0</v>
      </c>
      <c r="K209" s="6">
        <v>13500</v>
      </c>
      <c r="L209" s="4">
        <v>-29</v>
      </c>
      <c r="M209" s="6">
        <f>+L209*K209</f>
        <v>-391500</v>
      </c>
      <c r="O209" s="4">
        <f>+G209-E209</f>
        <v>32</v>
      </c>
      <c r="P209" s="4">
        <f>+N209-G209</f>
        <v>-43295</v>
      </c>
    </row>
    <row r="210" spans="1:16" s="7" customFormat="1" x14ac:dyDescent="0.25">
      <c r="A210" s="3" t="s">
        <v>56</v>
      </c>
      <c r="B210" s="4">
        <v>736</v>
      </c>
      <c r="C210" s="5">
        <v>43251</v>
      </c>
      <c r="D210" s="4" t="s">
        <v>164</v>
      </c>
      <c r="E210" s="5">
        <v>43220</v>
      </c>
      <c r="F210" s="5">
        <v>43252</v>
      </c>
      <c r="G210" s="5">
        <v>43281</v>
      </c>
      <c r="H210" s="4" t="s">
        <v>12</v>
      </c>
      <c r="I210" s="4">
        <v>723.5</v>
      </c>
      <c r="J210" s="4">
        <v>0</v>
      </c>
      <c r="K210" s="4">
        <v>723.5</v>
      </c>
      <c r="L210" s="4">
        <v>-29</v>
      </c>
      <c r="M210" s="6">
        <f>+L210*K210</f>
        <v>-20981.5</v>
      </c>
      <c r="O210" s="4">
        <f>+G210-E210</f>
        <v>61</v>
      </c>
      <c r="P210" s="4">
        <f>+N210-G210</f>
        <v>-43281</v>
      </c>
    </row>
    <row r="211" spans="1:16" s="7" customFormat="1" x14ac:dyDescent="0.25">
      <c r="A211" s="3" t="s">
        <v>165</v>
      </c>
      <c r="B211" s="4">
        <v>730</v>
      </c>
      <c r="C211" s="5">
        <v>43251</v>
      </c>
      <c r="D211" s="4" t="s">
        <v>166</v>
      </c>
      <c r="E211" s="5">
        <v>43230</v>
      </c>
      <c r="F211" s="5">
        <v>43252</v>
      </c>
      <c r="G211" s="5">
        <v>43281</v>
      </c>
      <c r="H211" s="4" t="s">
        <v>12</v>
      </c>
      <c r="I211" s="4">
        <v>400.77</v>
      </c>
      <c r="J211" s="4">
        <v>72.27</v>
      </c>
      <c r="K211" s="4">
        <v>328.5</v>
      </c>
      <c r="L211" s="4">
        <v>-29</v>
      </c>
      <c r="M211" s="6">
        <f>+L211*K211</f>
        <v>-9526.5</v>
      </c>
      <c r="O211" s="4">
        <f>+G211-E211</f>
        <v>51</v>
      </c>
      <c r="P211" s="4">
        <f>+N211-G211</f>
        <v>-43281</v>
      </c>
    </row>
    <row r="212" spans="1:16" s="7" customFormat="1" x14ac:dyDescent="0.25">
      <c r="A212" s="3" t="s">
        <v>37</v>
      </c>
      <c r="B212" s="4">
        <v>978</v>
      </c>
      <c r="C212" s="5">
        <v>43281</v>
      </c>
      <c r="D212" s="4" t="str">
        <f>"18081"</f>
        <v>18081</v>
      </c>
      <c r="E212" s="5">
        <v>43251</v>
      </c>
      <c r="F212" s="5">
        <v>43281</v>
      </c>
      <c r="G212" s="5">
        <v>43311</v>
      </c>
      <c r="H212" s="4" t="s">
        <v>12</v>
      </c>
      <c r="I212" s="6">
        <v>2762.4</v>
      </c>
      <c r="J212" s="4">
        <v>498.14</v>
      </c>
      <c r="K212" s="6">
        <v>2264.2600000000002</v>
      </c>
      <c r="L212" s="4">
        <v>-30</v>
      </c>
      <c r="M212" s="6">
        <f>+L212*K212</f>
        <v>-67927.8</v>
      </c>
      <c r="O212" s="4">
        <f>+G212-E212</f>
        <v>60</v>
      </c>
      <c r="P212" s="4">
        <f>+N212-G212</f>
        <v>-43311</v>
      </c>
    </row>
    <row r="213" spans="1:16" s="7" customFormat="1" x14ac:dyDescent="0.25">
      <c r="A213" s="3" t="s">
        <v>167</v>
      </c>
      <c r="B213" s="4">
        <v>700</v>
      </c>
      <c r="C213" s="5">
        <v>43250</v>
      </c>
      <c r="D213" s="4" t="str">
        <f>"1218003348"</f>
        <v>1218003348</v>
      </c>
      <c r="E213" s="5">
        <v>43234</v>
      </c>
      <c r="F213" s="5">
        <v>43251</v>
      </c>
      <c r="G213" s="5">
        <v>43281</v>
      </c>
      <c r="H213" s="4" t="s">
        <v>12</v>
      </c>
      <c r="I213" s="4">
        <v>481.14</v>
      </c>
      <c r="J213" s="4">
        <v>83.88</v>
      </c>
      <c r="K213" s="4">
        <v>397.26</v>
      </c>
      <c r="L213" s="4">
        <v>-30</v>
      </c>
      <c r="M213" s="6">
        <f>+L213*K213</f>
        <v>-11917.8</v>
      </c>
      <c r="O213" s="4">
        <f>+G213-E213</f>
        <v>47</v>
      </c>
      <c r="P213" s="4">
        <f>+N213-G213</f>
        <v>-43281</v>
      </c>
    </row>
    <row r="214" spans="1:16" s="7" customFormat="1" x14ac:dyDescent="0.25">
      <c r="A214" s="3" t="s">
        <v>160</v>
      </c>
      <c r="B214" s="4">
        <v>709</v>
      </c>
      <c r="C214" s="5">
        <v>43251</v>
      </c>
      <c r="D214" s="4" t="s">
        <v>168</v>
      </c>
      <c r="E214" s="5">
        <v>43216</v>
      </c>
      <c r="F214" s="5">
        <v>43251</v>
      </c>
      <c r="G214" s="5">
        <v>43281</v>
      </c>
      <c r="H214" s="4" t="s">
        <v>12</v>
      </c>
      <c r="I214" s="4">
        <v>278.16000000000003</v>
      </c>
      <c r="J214" s="4">
        <v>50.16</v>
      </c>
      <c r="K214" s="4">
        <v>228</v>
      </c>
      <c r="L214" s="4">
        <v>-30</v>
      </c>
      <c r="M214" s="6">
        <f>+L214*K214</f>
        <v>-6840</v>
      </c>
      <c r="O214" s="4">
        <f>+G214-E214</f>
        <v>65</v>
      </c>
      <c r="P214" s="4">
        <f>+N214-G214</f>
        <v>-43281</v>
      </c>
    </row>
    <row r="215" spans="1:16" s="7" customFormat="1" x14ac:dyDescent="0.25">
      <c r="A215" s="3" t="s">
        <v>160</v>
      </c>
      <c r="B215" s="4">
        <v>710</v>
      </c>
      <c r="C215" s="5">
        <v>43251</v>
      </c>
      <c r="D215" s="4" t="s">
        <v>169</v>
      </c>
      <c r="E215" s="5">
        <v>43208</v>
      </c>
      <c r="F215" s="5">
        <v>43251</v>
      </c>
      <c r="G215" s="5">
        <v>43281</v>
      </c>
      <c r="H215" s="4" t="s">
        <v>12</v>
      </c>
      <c r="I215" s="4">
        <v>556.32000000000005</v>
      </c>
      <c r="J215" s="4">
        <v>100.32</v>
      </c>
      <c r="K215" s="4">
        <v>456</v>
      </c>
      <c r="L215" s="4">
        <v>-30</v>
      </c>
      <c r="M215" s="6">
        <f>+L215*K215</f>
        <v>-13680</v>
      </c>
      <c r="O215" s="4">
        <f>+G215-E215</f>
        <v>73</v>
      </c>
      <c r="P215" s="4">
        <f>+N215-G215</f>
        <v>-43281</v>
      </c>
    </row>
    <row r="216" spans="1:16" s="7" customFormat="1" x14ac:dyDescent="0.25">
      <c r="A216" s="3" t="s">
        <v>160</v>
      </c>
      <c r="B216" s="4">
        <v>708</v>
      </c>
      <c r="C216" s="5">
        <v>43251</v>
      </c>
      <c r="D216" s="4" t="s">
        <v>170</v>
      </c>
      <c r="E216" s="5">
        <v>43208</v>
      </c>
      <c r="F216" s="5">
        <v>43251</v>
      </c>
      <c r="G216" s="5">
        <v>43281</v>
      </c>
      <c r="H216" s="4" t="s">
        <v>12</v>
      </c>
      <c r="I216" s="4">
        <v>573.4</v>
      </c>
      <c r="J216" s="4">
        <v>103.4</v>
      </c>
      <c r="K216" s="4">
        <v>470</v>
      </c>
      <c r="L216" s="4">
        <v>-30</v>
      </c>
      <c r="M216" s="6">
        <f>+L216*K216</f>
        <v>-14100</v>
      </c>
      <c r="O216" s="4">
        <f>+G216-E216</f>
        <v>73</v>
      </c>
      <c r="P216" s="4">
        <f>+N216-G216</f>
        <v>-43281</v>
      </c>
    </row>
    <row r="217" spans="1:16" s="7" customFormat="1" x14ac:dyDescent="0.25">
      <c r="A217" s="3" t="s">
        <v>171</v>
      </c>
      <c r="B217" s="4">
        <v>692</v>
      </c>
      <c r="C217" s="5">
        <v>43250</v>
      </c>
      <c r="D217" s="4" t="s">
        <v>172</v>
      </c>
      <c r="E217" s="5">
        <v>43197</v>
      </c>
      <c r="F217" s="5">
        <v>43251</v>
      </c>
      <c r="G217" s="5">
        <v>43281</v>
      </c>
      <c r="H217" s="4" t="s">
        <v>12</v>
      </c>
      <c r="I217" s="6">
        <v>4392.2</v>
      </c>
      <c r="J217" s="4">
        <v>399.29</v>
      </c>
      <c r="K217" s="6">
        <v>3992.91</v>
      </c>
      <c r="L217" s="4">
        <v>-30</v>
      </c>
      <c r="M217" s="6">
        <f>+L217*K217</f>
        <v>-119787.29999999999</v>
      </c>
      <c r="O217" s="4">
        <f>+G217-E217</f>
        <v>84</v>
      </c>
      <c r="P217" s="4">
        <f>+N217-G217</f>
        <v>-43281</v>
      </c>
    </row>
    <row r="218" spans="1:16" s="7" customFormat="1" ht="18.75" customHeight="1" x14ac:dyDescent="0.25">
      <c r="A218" s="3" t="s">
        <v>173</v>
      </c>
      <c r="B218" s="4">
        <v>701</v>
      </c>
      <c r="C218" s="5">
        <v>43250</v>
      </c>
      <c r="D218" s="4" t="str">
        <f>"1010478737"</f>
        <v>1010478737</v>
      </c>
      <c r="E218" s="5">
        <v>43214</v>
      </c>
      <c r="F218" s="5">
        <v>43251</v>
      </c>
      <c r="G218" s="5">
        <v>43281</v>
      </c>
      <c r="H218" s="4" t="s">
        <v>12</v>
      </c>
      <c r="I218" s="4">
        <v>532.09</v>
      </c>
      <c r="J218" s="4">
        <v>95.95</v>
      </c>
      <c r="K218" s="4">
        <v>436.14</v>
      </c>
      <c r="L218" s="4">
        <v>-30</v>
      </c>
      <c r="M218" s="6">
        <f>+L218*K218</f>
        <v>-13084.199999999999</v>
      </c>
      <c r="O218" s="4">
        <f>+G218-E218</f>
        <v>67</v>
      </c>
      <c r="P218" s="4">
        <f>+N218-G218</f>
        <v>-43281</v>
      </c>
    </row>
    <row r="219" spans="1:16" s="7" customFormat="1" x14ac:dyDescent="0.25">
      <c r="A219" s="3" t="s">
        <v>33</v>
      </c>
      <c r="B219" s="4">
        <v>703</v>
      </c>
      <c r="C219" s="5">
        <v>43250</v>
      </c>
      <c r="D219" s="4" t="s">
        <v>174</v>
      </c>
      <c r="E219" s="5">
        <v>43220</v>
      </c>
      <c r="F219" s="5">
        <v>43251</v>
      </c>
      <c r="G219" s="5">
        <v>43281</v>
      </c>
      <c r="H219" s="4" t="s">
        <v>12</v>
      </c>
      <c r="I219" s="6">
        <v>12314.95</v>
      </c>
      <c r="J219" s="4">
        <v>473.65</v>
      </c>
      <c r="K219" s="6">
        <v>11841.3</v>
      </c>
      <c r="L219" s="4">
        <v>-30</v>
      </c>
      <c r="M219" s="6">
        <f>+L219*K219</f>
        <v>-355239</v>
      </c>
      <c r="O219" s="4">
        <f>+G219-E219</f>
        <v>61</v>
      </c>
      <c r="P219" s="4">
        <f>+N219-G219</f>
        <v>-43281</v>
      </c>
    </row>
    <row r="220" spans="1:16" s="7" customFormat="1" x14ac:dyDescent="0.25">
      <c r="A220" s="3" t="s">
        <v>175</v>
      </c>
      <c r="B220" s="4">
        <v>986</v>
      </c>
      <c r="C220" s="5">
        <v>43281</v>
      </c>
      <c r="D220" s="4" t="s">
        <v>176</v>
      </c>
      <c r="E220" s="5">
        <v>43251</v>
      </c>
      <c r="F220" s="5">
        <v>43281</v>
      </c>
      <c r="G220" s="5">
        <v>43312</v>
      </c>
      <c r="H220" s="4" t="s">
        <v>12</v>
      </c>
      <c r="I220" s="6">
        <v>2173.77</v>
      </c>
      <c r="J220" s="4">
        <v>391.99</v>
      </c>
      <c r="K220" s="6">
        <v>1781.78</v>
      </c>
      <c r="L220" s="4">
        <v>-31</v>
      </c>
      <c r="M220" s="6">
        <f>+L220*K220</f>
        <v>-55235.18</v>
      </c>
      <c r="O220" s="4">
        <f>+G220-E220</f>
        <v>61</v>
      </c>
      <c r="P220" s="4">
        <f>+N220-G220</f>
        <v>-43312</v>
      </c>
    </row>
    <row r="221" spans="1:16" s="7" customFormat="1" x14ac:dyDescent="0.25">
      <c r="A221" s="3" t="s">
        <v>118</v>
      </c>
      <c r="B221" s="4">
        <v>1006</v>
      </c>
      <c r="C221" s="5">
        <v>43281</v>
      </c>
      <c r="D221" s="4" t="s">
        <v>177</v>
      </c>
      <c r="E221" s="5">
        <v>43264</v>
      </c>
      <c r="F221" s="5">
        <v>43281</v>
      </c>
      <c r="G221" s="5">
        <v>43312</v>
      </c>
      <c r="H221" s="4" t="s">
        <v>12</v>
      </c>
      <c r="I221" s="6">
        <v>2270.5700000000002</v>
      </c>
      <c r="J221" s="4">
        <v>409.45</v>
      </c>
      <c r="K221" s="6">
        <v>1861.12</v>
      </c>
      <c r="L221" s="4">
        <v>-31</v>
      </c>
      <c r="M221" s="6">
        <f>+L221*K221</f>
        <v>-57694.719999999994</v>
      </c>
      <c r="O221" s="4">
        <f>+G221-E221</f>
        <v>48</v>
      </c>
      <c r="P221" s="4">
        <f>+N221-G221</f>
        <v>-43312</v>
      </c>
    </row>
    <row r="222" spans="1:16" s="7" customFormat="1" x14ac:dyDescent="0.25">
      <c r="A222" s="3" t="s">
        <v>95</v>
      </c>
      <c r="B222" s="4">
        <v>1002</v>
      </c>
      <c r="C222" s="5">
        <v>43281</v>
      </c>
      <c r="D222" s="4" t="s">
        <v>178</v>
      </c>
      <c r="E222" s="5">
        <v>43258</v>
      </c>
      <c r="F222" s="5">
        <v>43281</v>
      </c>
      <c r="G222" s="5">
        <v>43312</v>
      </c>
      <c r="H222" s="4" t="s">
        <v>12</v>
      </c>
      <c r="I222" s="4">
        <v>61</v>
      </c>
      <c r="J222" s="4">
        <v>11</v>
      </c>
      <c r="K222" s="4">
        <v>50</v>
      </c>
      <c r="L222" s="4">
        <v>-31</v>
      </c>
      <c r="M222" s="6">
        <f>+L222*K222</f>
        <v>-1550</v>
      </c>
      <c r="O222" s="4">
        <f>+G222-E222</f>
        <v>54</v>
      </c>
      <c r="P222" s="4">
        <f>+N222-G222</f>
        <v>-43312</v>
      </c>
    </row>
    <row r="223" spans="1:16" s="7" customFormat="1" x14ac:dyDescent="0.25">
      <c r="A223" s="3" t="s">
        <v>179</v>
      </c>
      <c r="B223" s="4">
        <v>1003</v>
      </c>
      <c r="C223" s="5">
        <v>43281</v>
      </c>
      <c r="D223" s="4" t="s">
        <v>180</v>
      </c>
      <c r="E223" s="5">
        <v>43259</v>
      </c>
      <c r="F223" s="5">
        <v>43281</v>
      </c>
      <c r="G223" s="5">
        <v>43312</v>
      </c>
      <c r="H223" s="4" t="s">
        <v>12</v>
      </c>
      <c r="I223" s="6">
        <v>4215.1000000000004</v>
      </c>
      <c r="J223" s="4">
        <v>760.1</v>
      </c>
      <c r="K223" s="6">
        <v>3455</v>
      </c>
      <c r="L223" s="4">
        <v>-31</v>
      </c>
      <c r="M223" s="6">
        <f>+L223*K223</f>
        <v>-107105</v>
      </c>
      <c r="O223" s="4">
        <f>+G223-E223</f>
        <v>53</v>
      </c>
      <c r="P223" s="4">
        <f>+N223-G223</f>
        <v>-43312</v>
      </c>
    </row>
    <row r="224" spans="1:16" s="7" customFormat="1" x14ac:dyDescent="0.25">
      <c r="A224" s="3" t="s">
        <v>101</v>
      </c>
      <c r="B224" s="4">
        <v>458</v>
      </c>
      <c r="C224" s="5">
        <v>43197</v>
      </c>
      <c r="D224" s="4" t="str">
        <f>"0000003972"</f>
        <v>0000003972</v>
      </c>
      <c r="E224" s="5">
        <v>43168</v>
      </c>
      <c r="F224" s="5">
        <v>43197</v>
      </c>
      <c r="G224" s="5">
        <v>43228</v>
      </c>
      <c r="H224" s="4" t="s">
        <v>12</v>
      </c>
      <c r="I224" s="4">
        <v>63.24</v>
      </c>
      <c r="J224" s="4">
        <v>11.4</v>
      </c>
      <c r="K224" s="4">
        <v>51.84</v>
      </c>
      <c r="L224" s="4">
        <v>-31</v>
      </c>
      <c r="M224" s="6">
        <f>+L224*K224</f>
        <v>-1607.0400000000002</v>
      </c>
      <c r="O224" s="4">
        <f>+G224-E224</f>
        <v>60</v>
      </c>
      <c r="P224" s="4">
        <f>+N224-G224</f>
        <v>-43228</v>
      </c>
    </row>
    <row r="225" spans="1:16" s="7" customFormat="1" x14ac:dyDescent="0.25">
      <c r="A225" s="3" t="s">
        <v>101</v>
      </c>
      <c r="B225" s="4">
        <v>457</v>
      </c>
      <c r="C225" s="5">
        <v>43197</v>
      </c>
      <c r="D225" s="4" t="str">
        <f>"0000003971"</f>
        <v>0000003971</v>
      </c>
      <c r="E225" s="5">
        <v>43168</v>
      </c>
      <c r="F225" s="5">
        <v>43197</v>
      </c>
      <c r="G225" s="5">
        <v>43228</v>
      </c>
      <c r="H225" s="4" t="s">
        <v>12</v>
      </c>
      <c r="I225" s="4">
        <v>57.91</v>
      </c>
      <c r="J225" s="4">
        <v>10.44</v>
      </c>
      <c r="K225" s="4">
        <v>47.47</v>
      </c>
      <c r="L225" s="4">
        <v>-31</v>
      </c>
      <c r="M225" s="6">
        <f>+L225*K225</f>
        <v>-1471.57</v>
      </c>
      <c r="O225" s="4">
        <f>+G225-E225</f>
        <v>60</v>
      </c>
      <c r="P225" s="4">
        <f>+N225-G225</f>
        <v>-43228</v>
      </c>
    </row>
    <row r="226" spans="1:16" s="7" customFormat="1" ht="30" x14ac:dyDescent="0.25">
      <c r="A226" s="3" t="s">
        <v>181</v>
      </c>
      <c r="B226" s="4">
        <v>699</v>
      </c>
      <c r="C226" s="5">
        <v>43250</v>
      </c>
      <c r="D226" s="4" t="s">
        <v>182</v>
      </c>
      <c r="E226" s="5">
        <v>43226</v>
      </c>
      <c r="F226" s="5">
        <v>43251</v>
      </c>
      <c r="G226" s="5">
        <v>43287</v>
      </c>
      <c r="H226" s="4" t="s">
        <v>12</v>
      </c>
      <c r="I226" s="4">
        <v>832.5</v>
      </c>
      <c r="J226" s="4">
        <v>0</v>
      </c>
      <c r="K226" s="4">
        <v>832.5</v>
      </c>
      <c r="L226" s="4">
        <v>-36</v>
      </c>
      <c r="M226" s="6">
        <f>+L226*K226</f>
        <v>-29970</v>
      </c>
      <c r="O226" s="4">
        <f>+G226-E226</f>
        <v>61</v>
      </c>
      <c r="P226" s="4">
        <f>+N226-G226</f>
        <v>-43287</v>
      </c>
    </row>
    <row r="227" spans="1:16" s="7" customFormat="1" x14ac:dyDescent="0.25">
      <c r="A227" s="3" t="s">
        <v>49</v>
      </c>
      <c r="B227" s="4">
        <v>438</v>
      </c>
      <c r="C227" s="5">
        <v>43197</v>
      </c>
      <c r="D227" s="4" t="s">
        <v>183</v>
      </c>
      <c r="E227" s="5">
        <v>43173</v>
      </c>
      <c r="F227" s="5">
        <v>43197</v>
      </c>
      <c r="G227" s="5">
        <v>43234</v>
      </c>
      <c r="H227" s="4" t="s">
        <v>12</v>
      </c>
      <c r="I227" s="6">
        <v>26840</v>
      </c>
      <c r="J227" s="6">
        <v>4840</v>
      </c>
      <c r="K227" s="6">
        <v>22000</v>
      </c>
      <c r="L227" s="4">
        <v>-37</v>
      </c>
      <c r="M227" s="6">
        <f>+L227*K227</f>
        <v>-814000</v>
      </c>
      <c r="O227" s="4">
        <f>+G227-E227</f>
        <v>61</v>
      </c>
      <c r="P227" s="4">
        <f>+N227-G227</f>
        <v>-43234</v>
      </c>
    </row>
    <row r="228" spans="1:16" s="7" customFormat="1" x14ac:dyDescent="0.25">
      <c r="A228" s="3" t="s">
        <v>37</v>
      </c>
      <c r="B228" s="4">
        <v>521</v>
      </c>
      <c r="C228" s="5">
        <v>43211</v>
      </c>
      <c r="D228" s="4" t="str">
        <f>"18049"</f>
        <v>18049</v>
      </c>
      <c r="E228" s="5">
        <v>43190</v>
      </c>
      <c r="F228" s="5">
        <v>43211</v>
      </c>
      <c r="G228" s="5">
        <v>43250</v>
      </c>
      <c r="H228" s="4" t="s">
        <v>12</v>
      </c>
      <c r="I228" s="6">
        <v>21121.14</v>
      </c>
      <c r="J228" s="6">
        <v>3808.73</v>
      </c>
      <c r="K228" s="6">
        <v>17312.41</v>
      </c>
      <c r="L228" s="4">
        <v>-39</v>
      </c>
      <c r="M228" s="6">
        <f>+L228*K228</f>
        <v>-675183.99</v>
      </c>
      <c r="O228" s="4">
        <f>+G228-E228</f>
        <v>60</v>
      </c>
      <c r="P228" s="4">
        <f>+N228-G228</f>
        <v>-43250</v>
      </c>
    </row>
    <row r="229" spans="1:16" s="7" customFormat="1" x14ac:dyDescent="0.25">
      <c r="A229" s="3" t="s">
        <v>92</v>
      </c>
      <c r="B229" s="4">
        <v>526</v>
      </c>
      <c r="C229" s="5">
        <v>43211</v>
      </c>
      <c r="D229" s="4" t="str">
        <f>"0002116372"</f>
        <v>0002116372</v>
      </c>
      <c r="E229" s="5">
        <v>43190</v>
      </c>
      <c r="F229" s="5">
        <v>43211</v>
      </c>
      <c r="G229" s="5">
        <v>43251</v>
      </c>
      <c r="H229" s="4" t="s">
        <v>12</v>
      </c>
      <c r="I229" s="6">
        <v>4529.62</v>
      </c>
      <c r="J229" s="4">
        <v>816.82</v>
      </c>
      <c r="K229" s="6">
        <v>3712.8</v>
      </c>
      <c r="L229" s="4">
        <v>-40</v>
      </c>
      <c r="M229" s="6">
        <f>+L229*K229</f>
        <v>-148512</v>
      </c>
      <c r="O229" s="4">
        <f>+G229-E229</f>
        <v>61</v>
      </c>
      <c r="P229" s="4">
        <f>+N229-G229</f>
        <v>-43251</v>
      </c>
    </row>
    <row r="230" spans="1:16" s="7" customFormat="1" ht="30" x14ac:dyDescent="0.25">
      <c r="A230" s="3" t="s">
        <v>184</v>
      </c>
      <c r="B230" s="4">
        <v>517</v>
      </c>
      <c r="C230" s="5">
        <v>43211</v>
      </c>
      <c r="D230" s="4" t="str">
        <f>"0000020"</f>
        <v>0000020</v>
      </c>
      <c r="E230" s="5">
        <v>43196</v>
      </c>
      <c r="F230" s="5">
        <v>43211</v>
      </c>
      <c r="G230" s="5">
        <v>43251</v>
      </c>
      <c r="H230" s="4" t="s">
        <v>12</v>
      </c>
      <c r="I230" s="6">
        <v>12420.87</v>
      </c>
      <c r="J230" s="6">
        <v>2239.83</v>
      </c>
      <c r="K230" s="6">
        <v>10181.040000000001</v>
      </c>
      <c r="L230" s="4">
        <v>-40</v>
      </c>
      <c r="M230" s="6">
        <f>+L230*K230</f>
        <v>-407241.60000000003</v>
      </c>
      <c r="O230" s="4">
        <f>+G230-E230</f>
        <v>55</v>
      </c>
      <c r="P230" s="4">
        <f>+N230-G230</f>
        <v>-43251</v>
      </c>
    </row>
    <row r="231" spans="1:16" s="7" customFormat="1" ht="30" x14ac:dyDescent="0.25">
      <c r="A231" s="3" t="s">
        <v>181</v>
      </c>
      <c r="B231" s="4">
        <v>520</v>
      </c>
      <c r="C231" s="5">
        <v>43211</v>
      </c>
      <c r="D231" s="4" t="s">
        <v>185</v>
      </c>
      <c r="E231" s="5">
        <v>43198</v>
      </c>
      <c r="F231" s="5">
        <v>43211</v>
      </c>
      <c r="G231" s="5">
        <v>43259</v>
      </c>
      <c r="H231" s="4" t="s">
        <v>12</v>
      </c>
      <c r="I231" s="4">
        <v>943.5</v>
      </c>
      <c r="J231" s="4">
        <v>0</v>
      </c>
      <c r="K231" s="4">
        <v>943.5</v>
      </c>
      <c r="L231" s="4">
        <v>-48</v>
      </c>
      <c r="M231" s="6">
        <f>+L231*K231</f>
        <v>-45288</v>
      </c>
      <c r="O231" s="4">
        <f>+G231-E231</f>
        <v>61</v>
      </c>
      <c r="P231" s="4">
        <f>+N231-G231</f>
        <v>-43259</v>
      </c>
    </row>
    <row r="232" spans="1:16" s="7" customFormat="1" x14ac:dyDescent="0.25">
      <c r="A232" s="3" t="s">
        <v>186</v>
      </c>
      <c r="B232" s="4">
        <v>468</v>
      </c>
      <c r="C232" s="5">
        <v>43197</v>
      </c>
      <c r="D232" s="4" t="str">
        <f>"004"</f>
        <v>004</v>
      </c>
      <c r="E232" s="5">
        <v>43194</v>
      </c>
      <c r="F232" s="5">
        <v>43197</v>
      </c>
      <c r="G232" s="5">
        <v>43251</v>
      </c>
      <c r="H232" s="4" t="s">
        <v>12</v>
      </c>
      <c r="I232" s="6">
        <v>2025</v>
      </c>
      <c r="J232" s="4">
        <v>0</v>
      </c>
      <c r="K232" s="6">
        <v>2025</v>
      </c>
      <c r="L232" s="4">
        <v>-54</v>
      </c>
      <c r="M232" s="6">
        <f>+L232*K232</f>
        <v>-109350</v>
      </c>
      <c r="O232" s="4">
        <f>+G232-E232</f>
        <v>57</v>
      </c>
      <c r="P232" s="4">
        <f>+N232-G232</f>
        <v>-43251</v>
      </c>
    </row>
    <row r="233" spans="1:16" s="7" customFormat="1" ht="30.75" thickBot="1" x14ac:dyDescent="0.3">
      <c r="A233" s="10" t="s">
        <v>181</v>
      </c>
      <c r="B233" s="11">
        <v>750</v>
      </c>
      <c r="C233" s="12">
        <v>43257</v>
      </c>
      <c r="D233" s="11" t="s">
        <v>187</v>
      </c>
      <c r="E233" s="12">
        <v>43255</v>
      </c>
      <c r="F233" s="12">
        <v>43257</v>
      </c>
      <c r="G233" s="12">
        <v>43316</v>
      </c>
      <c r="H233" s="11" t="s">
        <v>12</v>
      </c>
      <c r="I233" s="11">
        <v>943.5</v>
      </c>
      <c r="J233" s="11">
        <v>0</v>
      </c>
      <c r="K233" s="11">
        <v>943.5</v>
      </c>
      <c r="L233" s="11">
        <v>-59</v>
      </c>
      <c r="M233" s="13">
        <f>+L233*K233</f>
        <v>-55666.5</v>
      </c>
      <c r="O233" s="4">
        <f>+G233-E233</f>
        <v>61</v>
      </c>
      <c r="P233" s="4">
        <f>+N233-G233</f>
        <v>-43316</v>
      </c>
    </row>
    <row r="234" spans="1:16" ht="18.75" x14ac:dyDescent="0.3">
      <c r="A234" s="1" t="s">
        <v>188</v>
      </c>
      <c r="B234" s="1">
        <v>0</v>
      </c>
      <c r="D234" s="1" t="s">
        <v>189</v>
      </c>
      <c r="I234" s="2">
        <v>613425.63</v>
      </c>
      <c r="J234" s="2">
        <v>68936.06</v>
      </c>
      <c r="K234" s="2">
        <f>SUM(K2:K233)</f>
        <v>544489.56999999995</v>
      </c>
      <c r="L234" s="18">
        <v>-10.130003893922154</v>
      </c>
      <c r="M234" s="2">
        <f>SUM(M2:M233)</f>
        <v>-5521126.3599999966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L_RIT</vt:lpstr>
      <vt:lpstr>L_RIT!Titoli_stampa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Tomezzoli</dc:creator>
  <cp:lastModifiedBy>Nicola Tomezzoli</cp:lastModifiedBy>
  <cp:lastPrinted>2018-07-28T08:54:12Z</cp:lastPrinted>
  <dcterms:created xsi:type="dcterms:W3CDTF">2018-07-21T08:03:00Z</dcterms:created>
  <dcterms:modified xsi:type="dcterms:W3CDTF">2018-07-28T08:54:46Z</dcterms:modified>
</cp:coreProperties>
</file>